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pivotTables/pivotTable2.xml" ContentType="application/vnd.openxmlformats-officedocument.spreadsheetml.pivotTable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codeName="EstaPastaDeTrabalho"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\\sdaysp04006\depto\FinanceiraConsignado\CÉLULA SUPORTE PROMOTORA\Manual\Portabilidade\"/>
    </mc:Choice>
  </mc:AlternateContent>
  <xr:revisionPtr revIDLastSave="0" documentId="8_{D991105D-4A4A-4718-BB94-3FEC350BB43F}" xr6:coauthVersionLast="47" xr6:coauthVersionMax="47" xr10:uidLastSave="{00000000-0000-0000-0000-000000000000}"/>
  <workbookProtection workbookAlgorithmName="SHA-512" workbookHashValue="EuRbnGmTbh/FAT71CuVs6fQg86mu9sVBhsosSL9QlhUajtBfxg5y9SeKtYu9MexiKGsQDszZjLkZyRv7aMR3fQ==" workbookSaltValue="CCbDMH2VtAV87pSPagNKEw==" workbookSpinCount="100000" lockStructure="1"/>
  <bookViews>
    <workbookView xWindow="-120" yWindow="-120" windowWidth="19440" windowHeight="15000" tabRatio="787" firstSheet="1" activeTab="3" xr2:uid="{00000000-000D-0000-FFFF-FFFF00000000}"/>
  </bookViews>
  <sheets>
    <sheet name="Matriz Ponderação" sheetId="4" state="hidden" r:id="rId1"/>
    <sheet name="Batalha Naval" sheetId="6" r:id="rId2"/>
    <sheet name="CALCULAR SALDO APROXIMADO " sheetId="5" r:id="rId3"/>
    <sheet name="SIMULADOR COM SALDO" sheetId="2" r:id="rId4"/>
    <sheet name="Base tabelas" sheetId="8" state="hidden" r:id="rId5"/>
  </sheets>
  <definedNames>
    <definedName name="_xlnm._FilterDatabase" localSheetId="1" hidden="1">'Batalha Naval'!$EY$10:$FC$24</definedName>
    <definedName name="_xlnm._FilterDatabase" localSheetId="2" hidden="1">'CALCULAR SALDO APROXIMADO '!$BC$23:$BR$181</definedName>
    <definedName name="_xlnm._FilterDatabase" localSheetId="3" hidden="1">'SIMULADOR COM SALDO'!$BD$22:$BS$100</definedName>
    <definedName name="DadosExternos_1" localSheetId="4" hidden="1">'Base tabelas'!$A$1:$J$168</definedName>
  </definedNames>
  <calcPr calcId="181029"/>
  <pivotCaches>
    <pivotCache cacheId="2" r:id="rId6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E25" i="5" l="1"/>
  <c r="BF25" i="5"/>
  <c r="BG25" i="5"/>
  <c r="BH25" i="5"/>
  <c r="BI25" i="5"/>
  <c r="BJ25" i="5"/>
  <c r="BK25" i="5"/>
  <c r="BL25" i="5"/>
  <c r="BM25" i="5"/>
  <c r="BN25" i="5"/>
  <c r="BO25" i="5"/>
  <c r="BP25" i="5"/>
  <c r="BQ25" i="5"/>
  <c r="BR25" i="5"/>
  <c r="BE26" i="5"/>
  <c r="BF26" i="5"/>
  <c r="BG26" i="5"/>
  <c r="BH26" i="5"/>
  <c r="BI26" i="5"/>
  <c r="BJ26" i="5"/>
  <c r="BK26" i="5"/>
  <c r="BL26" i="5"/>
  <c r="BM26" i="5"/>
  <c r="BN26" i="5"/>
  <c r="BO26" i="5"/>
  <c r="BP26" i="5"/>
  <c r="BQ26" i="5"/>
  <c r="BR26" i="5"/>
  <c r="BE27" i="5"/>
  <c r="BF27" i="5"/>
  <c r="BG27" i="5"/>
  <c r="BH27" i="5"/>
  <c r="BI27" i="5"/>
  <c r="BJ27" i="5"/>
  <c r="BK27" i="5"/>
  <c r="BL27" i="5"/>
  <c r="BM27" i="5"/>
  <c r="BN27" i="5"/>
  <c r="BO27" i="5"/>
  <c r="BP27" i="5"/>
  <c r="BQ27" i="5"/>
  <c r="BR27" i="5"/>
  <c r="BE28" i="5"/>
  <c r="BF28" i="5"/>
  <c r="BG28" i="5"/>
  <c r="BH28" i="5"/>
  <c r="BI28" i="5"/>
  <c r="BJ28" i="5"/>
  <c r="BK28" i="5"/>
  <c r="BL28" i="5"/>
  <c r="BM28" i="5"/>
  <c r="BN28" i="5"/>
  <c r="BO28" i="5"/>
  <c r="BP28" i="5"/>
  <c r="BQ28" i="5"/>
  <c r="BR28" i="5"/>
  <c r="BE29" i="5"/>
  <c r="BF29" i="5"/>
  <c r="BG29" i="5"/>
  <c r="BH29" i="5"/>
  <c r="BI29" i="5"/>
  <c r="BJ29" i="5"/>
  <c r="BK29" i="5"/>
  <c r="BL29" i="5"/>
  <c r="BM29" i="5"/>
  <c r="BN29" i="5"/>
  <c r="BO29" i="5"/>
  <c r="BP29" i="5"/>
  <c r="BQ29" i="5"/>
  <c r="BR29" i="5"/>
  <c r="BE30" i="5"/>
  <c r="BF30" i="5"/>
  <c r="BG30" i="5"/>
  <c r="BH30" i="5"/>
  <c r="BI30" i="5"/>
  <c r="BJ30" i="5"/>
  <c r="BK30" i="5"/>
  <c r="BL30" i="5"/>
  <c r="BM30" i="5"/>
  <c r="BN30" i="5"/>
  <c r="BO30" i="5"/>
  <c r="BP30" i="5"/>
  <c r="BQ30" i="5"/>
  <c r="BR30" i="5"/>
  <c r="BE31" i="5"/>
  <c r="BF31" i="5"/>
  <c r="BG31" i="5"/>
  <c r="BH31" i="5"/>
  <c r="BI31" i="5"/>
  <c r="BJ31" i="5"/>
  <c r="BK31" i="5"/>
  <c r="BL31" i="5"/>
  <c r="BM31" i="5"/>
  <c r="BN31" i="5"/>
  <c r="BO31" i="5"/>
  <c r="BP31" i="5"/>
  <c r="BQ31" i="5"/>
  <c r="BR31" i="5"/>
  <c r="BE32" i="5"/>
  <c r="BF32" i="5"/>
  <c r="BG32" i="5"/>
  <c r="BH32" i="5"/>
  <c r="BI32" i="5"/>
  <c r="BJ32" i="5"/>
  <c r="BK32" i="5"/>
  <c r="BL32" i="5"/>
  <c r="BM32" i="5"/>
  <c r="BN32" i="5"/>
  <c r="BO32" i="5"/>
  <c r="BP32" i="5"/>
  <c r="BQ32" i="5"/>
  <c r="BR32" i="5"/>
  <c r="BE33" i="5"/>
  <c r="BF33" i="5"/>
  <c r="BG33" i="5"/>
  <c r="BH33" i="5"/>
  <c r="BI33" i="5"/>
  <c r="BJ33" i="5"/>
  <c r="BK33" i="5"/>
  <c r="BL33" i="5"/>
  <c r="BM33" i="5"/>
  <c r="BN33" i="5"/>
  <c r="BO33" i="5"/>
  <c r="BP33" i="5"/>
  <c r="BQ33" i="5"/>
  <c r="BR33" i="5"/>
  <c r="BE34" i="5"/>
  <c r="BF34" i="5"/>
  <c r="BG34" i="5"/>
  <c r="BH34" i="5"/>
  <c r="BI34" i="5"/>
  <c r="BJ34" i="5"/>
  <c r="BK34" i="5"/>
  <c r="BL34" i="5"/>
  <c r="BM34" i="5"/>
  <c r="BN34" i="5"/>
  <c r="BO34" i="5"/>
  <c r="BP34" i="5"/>
  <c r="BQ34" i="5"/>
  <c r="BR34" i="5"/>
  <c r="BE35" i="5"/>
  <c r="BF35" i="5"/>
  <c r="BG35" i="5"/>
  <c r="BH35" i="5"/>
  <c r="BI35" i="5"/>
  <c r="BJ35" i="5"/>
  <c r="BK35" i="5"/>
  <c r="BL35" i="5"/>
  <c r="BM35" i="5"/>
  <c r="BN35" i="5"/>
  <c r="BO35" i="5"/>
  <c r="BP35" i="5"/>
  <c r="BQ35" i="5"/>
  <c r="BR35" i="5"/>
  <c r="BE36" i="5"/>
  <c r="BF36" i="5"/>
  <c r="BG36" i="5"/>
  <c r="BH36" i="5"/>
  <c r="BI36" i="5"/>
  <c r="BJ36" i="5"/>
  <c r="BK36" i="5"/>
  <c r="BL36" i="5"/>
  <c r="BM36" i="5"/>
  <c r="BN36" i="5"/>
  <c r="BO36" i="5"/>
  <c r="BR36" i="5"/>
  <c r="BE37" i="5"/>
  <c r="BF37" i="5"/>
  <c r="BG37" i="5"/>
  <c r="BH37" i="5"/>
  <c r="BI37" i="5"/>
  <c r="BJ37" i="5"/>
  <c r="BK37" i="5"/>
  <c r="BL37" i="5"/>
  <c r="BM37" i="5"/>
  <c r="BN37" i="5"/>
  <c r="BO37" i="5"/>
  <c r="BR37" i="5"/>
  <c r="BE38" i="5"/>
  <c r="BF38" i="5"/>
  <c r="BG38" i="5"/>
  <c r="BH38" i="5"/>
  <c r="BI38" i="5"/>
  <c r="BJ38" i="5"/>
  <c r="BK38" i="5"/>
  <c r="BL38" i="5"/>
  <c r="BM38" i="5"/>
  <c r="BN38" i="5"/>
  <c r="BO38" i="5"/>
  <c r="BR38" i="5"/>
  <c r="BE39" i="5"/>
  <c r="BF39" i="5"/>
  <c r="BG39" i="5"/>
  <c r="BH39" i="5"/>
  <c r="BI39" i="5"/>
  <c r="BJ39" i="5"/>
  <c r="BK39" i="5"/>
  <c r="BL39" i="5"/>
  <c r="BM39" i="5"/>
  <c r="BN39" i="5"/>
  <c r="BO39" i="5"/>
  <c r="BR39" i="5"/>
  <c r="BE40" i="5"/>
  <c r="BF40" i="5"/>
  <c r="BG40" i="5"/>
  <c r="BH40" i="5"/>
  <c r="BI40" i="5"/>
  <c r="BJ40" i="5"/>
  <c r="BK40" i="5"/>
  <c r="BL40" i="5"/>
  <c r="BM40" i="5"/>
  <c r="BN40" i="5"/>
  <c r="BO40" i="5"/>
  <c r="BR40" i="5"/>
  <c r="BE41" i="5"/>
  <c r="BF41" i="5"/>
  <c r="BG41" i="5"/>
  <c r="BH41" i="5"/>
  <c r="BI41" i="5"/>
  <c r="BJ41" i="5"/>
  <c r="BK41" i="5"/>
  <c r="BL41" i="5"/>
  <c r="BM41" i="5"/>
  <c r="BN41" i="5"/>
  <c r="BO41" i="5"/>
  <c r="BR41" i="5"/>
  <c r="BE42" i="5"/>
  <c r="BF42" i="5"/>
  <c r="BG42" i="5"/>
  <c r="BH42" i="5"/>
  <c r="BI42" i="5"/>
  <c r="BJ42" i="5"/>
  <c r="BK42" i="5"/>
  <c r="BL42" i="5"/>
  <c r="BM42" i="5"/>
  <c r="BN42" i="5"/>
  <c r="BO42" i="5"/>
  <c r="BR42" i="5"/>
  <c r="BE43" i="5"/>
  <c r="BF43" i="5"/>
  <c r="BG43" i="5"/>
  <c r="BH43" i="5"/>
  <c r="BI43" i="5"/>
  <c r="BJ43" i="5"/>
  <c r="BK43" i="5"/>
  <c r="BL43" i="5"/>
  <c r="BM43" i="5"/>
  <c r="BN43" i="5"/>
  <c r="BO43" i="5"/>
  <c r="BR43" i="5"/>
  <c r="BE44" i="5"/>
  <c r="BF44" i="5"/>
  <c r="BG44" i="5"/>
  <c r="BH44" i="5"/>
  <c r="BI44" i="5"/>
  <c r="BJ44" i="5"/>
  <c r="BK44" i="5"/>
  <c r="BL44" i="5"/>
  <c r="BM44" i="5"/>
  <c r="BN44" i="5"/>
  <c r="BO44" i="5"/>
  <c r="BR44" i="5"/>
  <c r="BE45" i="5"/>
  <c r="BF45" i="5"/>
  <c r="BG45" i="5"/>
  <c r="BH45" i="5"/>
  <c r="BI45" i="5"/>
  <c r="BJ45" i="5"/>
  <c r="BK45" i="5"/>
  <c r="BL45" i="5"/>
  <c r="BM45" i="5"/>
  <c r="BN45" i="5"/>
  <c r="BO45" i="5"/>
  <c r="BR45" i="5"/>
  <c r="BE46" i="5"/>
  <c r="BF46" i="5"/>
  <c r="BG46" i="5"/>
  <c r="BH46" i="5"/>
  <c r="BI46" i="5"/>
  <c r="BJ46" i="5"/>
  <c r="BK46" i="5"/>
  <c r="BL46" i="5"/>
  <c r="BM46" i="5"/>
  <c r="BN46" i="5"/>
  <c r="BO46" i="5"/>
  <c r="BR46" i="5"/>
  <c r="BE47" i="5"/>
  <c r="BF47" i="5"/>
  <c r="BG47" i="5"/>
  <c r="BH47" i="5"/>
  <c r="BI47" i="5"/>
  <c r="BJ47" i="5"/>
  <c r="BK47" i="5"/>
  <c r="BL47" i="5"/>
  <c r="BM47" i="5"/>
  <c r="BN47" i="5"/>
  <c r="BO47" i="5"/>
  <c r="BR47" i="5"/>
  <c r="BE48" i="5"/>
  <c r="BF48" i="5"/>
  <c r="BG48" i="5"/>
  <c r="BH48" i="5"/>
  <c r="BI48" i="5"/>
  <c r="BJ48" i="5"/>
  <c r="BK48" i="5"/>
  <c r="BL48" i="5"/>
  <c r="BM48" i="5"/>
  <c r="BN48" i="5"/>
  <c r="BO48" i="5"/>
  <c r="BR48" i="5"/>
  <c r="BE49" i="5"/>
  <c r="BF49" i="5"/>
  <c r="BG49" i="5"/>
  <c r="BH49" i="5"/>
  <c r="BI49" i="5"/>
  <c r="BJ49" i="5"/>
  <c r="BK49" i="5"/>
  <c r="BL49" i="5"/>
  <c r="BM49" i="5"/>
  <c r="BN49" i="5"/>
  <c r="BO49" i="5"/>
  <c r="BR49" i="5"/>
  <c r="BE50" i="5"/>
  <c r="BF50" i="5"/>
  <c r="BG50" i="5"/>
  <c r="BH50" i="5"/>
  <c r="BI50" i="5"/>
  <c r="BJ50" i="5"/>
  <c r="BK50" i="5"/>
  <c r="BL50" i="5"/>
  <c r="BM50" i="5"/>
  <c r="BN50" i="5"/>
  <c r="BO50" i="5"/>
  <c r="BR50" i="5"/>
  <c r="BE51" i="5"/>
  <c r="BF51" i="5"/>
  <c r="BG51" i="5"/>
  <c r="BH51" i="5"/>
  <c r="BI51" i="5"/>
  <c r="BJ51" i="5"/>
  <c r="BK51" i="5"/>
  <c r="BL51" i="5"/>
  <c r="BM51" i="5"/>
  <c r="BN51" i="5"/>
  <c r="BO51" i="5"/>
  <c r="BR51" i="5"/>
  <c r="BE52" i="5"/>
  <c r="BF52" i="5"/>
  <c r="BG52" i="5"/>
  <c r="BH52" i="5"/>
  <c r="BI52" i="5"/>
  <c r="BJ52" i="5"/>
  <c r="BK52" i="5"/>
  <c r="BL52" i="5"/>
  <c r="BM52" i="5"/>
  <c r="BN52" i="5"/>
  <c r="BO52" i="5"/>
  <c r="BR52" i="5"/>
  <c r="BE53" i="5"/>
  <c r="BF53" i="5"/>
  <c r="BG53" i="5"/>
  <c r="BH53" i="5"/>
  <c r="BI53" i="5"/>
  <c r="BJ53" i="5"/>
  <c r="BK53" i="5"/>
  <c r="BL53" i="5"/>
  <c r="BM53" i="5"/>
  <c r="BN53" i="5"/>
  <c r="BO53" i="5"/>
  <c r="BR53" i="5"/>
  <c r="BE54" i="5"/>
  <c r="BF54" i="5"/>
  <c r="BG54" i="5"/>
  <c r="BH54" i="5"/>
  <c r="BI54" i="5"/>
  <c r="BJ54" i="5"/>
  <c r="BK54" i="5"/>
  <c r="BL54" i="5"/>
  <c r="BM54" i="5"/>
  <c r="BN54" i="5"/>
  <c r="BO54" i="5"/>
  <c r="BR54" i="5"/>
  <c r="BE55" i="5"/>
  <c r="BF55" i="5"/>
  <c r="BG55" i="5"/>
  <c r="BH55" i="5"/>
  <c r="BI55" i="5"/>
  <c r="BJ55" i="5"/>
  <c r="BK55" i="5"/>
  <c r="BL55" i="5"/>
  <c r="BM55" i="5"/>
  <c r="BN55" i="5"/>
  <c r="BO55" i="5"/>
  <c r="BR55" i="5"/>
  <c r="BE56" i="5"/>
  <c r="BF56" i="5"/>
  <c r="BG56" i="5"/>
  <c r="BH56" i="5"/>
  <c r="BI56" i="5"/>
  <c r="BJ56" i="5"/>
  <c r="BK56" i="5"/>
  <c r="BL56" i="5"/>
  <c r="BM56" i="5"/>
  <c r="BN56" i="5"/>
  <c r="BO56" i="5"/>
  <c r="BR56" i="5"/>
  <c r="BE57" i="5"/>
  <c r="BF57" i="5"/>
  <c r="BG57" i="5"/>
  <c r="BH57" i="5"/>
  <c r="BI57" i="5"/>
  <c r="BJ57" i="5"/>
  <c r="BK57" i="5"/>
  <c r="BL57" i="5"/>
  <c r="BM57" i="5"/>
  <c r="BN57" i="5"/>
  <c r="BO57" i="5"/>
  <c r="BR57" i="5"/>
  <c r="BE58" i="5"/>
  <c r="BF58" i="5"/>
  <c r="BG58" i="5"/>
  <c r="BH58" i="5"/>
  <c r="BI58" i="5"/>
  <c r="BJ58" i="5"/>
  <c r="BK58" i="5"/>
  <c r="BL58" i="5"/>
  <c r="BM58" i="5"/>
  <c r="BN58" i="5"/>
  <c r="BO58" i="5"/>
  <c r="BR58" i="5"/>
  <c r="BE59" i="5"/>
  <c r="BF59" i="5"/>
  <c r="BG59" i="5"/>
  <c r="BH59" i="5"/>
  <c r="BI59" i="5"/>
  <c r="BJ59" i="5"/>
  <c r="BK59" i="5"/>
  <c r="BL59" i="5"/>
  <c r="BM59" i="5"/>
  <c r="BN59" i="5"/>
  <c r="BO59" i="5"/>
  <c r="BR59" i="5"/>
  <c r="BE60" i="5"/>
  <c r="BF60" i="5"/>
  <c r="BG60" i="5"/>
  <c r="BH60" i="5"/>
  <c r="BI60" i="5"/>
  <c r="BJ60" i="5"/>
  <c r="BK60" i="5"/>
  <c r="BL60" i="5"/>
  <c r="BM60" i="5"/>
  <c r="BN60" i="5"/>
  <c r="BO60" i="5"/>
  <c r="BR60" i="5"/>
  <c r="BE61" i="5"/>
  <c r="BF61" i="5"/>
  <c r="BG61" i="5"/>
  <c r="BH61" i="5"/>
  <c r="BI61" i="5"/>
  <c r="BJ61" i="5"/>
  <c r="BK61" i="5"/>
  <c r="BL61" i="5"/>
  <c r="BM61" i="5"/>
  <c r="BN61" i="5"/>
  <c r="BO61" i="5"/>
  <c r="BR61" i="5"/>
  <c r="BE62" i="5"/>
  <c r="BF62" i="5"/>
  <c r="BG62" i="5"/>
  <c r="BH62" i="5"/>
  <c r="BI62" i="5"/>
  <c r="BJ62" i="5"/>
  <c r="BK62" i="5"/>
  <c r="BL62" i="5"/>
  <c r="BM62" i="5"/>
  <c r="BN62" i="5"/>
  <c r="BO62" i="5"/>
  <c r="BR62" i="5"/>
  <c r="BE63" i="5"/>
  <c r="BF63" i="5"/>
  <c r="BG63" i="5"/>
  <c r="BH63" i="5"/>
  <c r="BI63" i="5"/>
  <c r="BK63" i="5"/>
  <c r="BL63" i="5"/>
  <c r="BM63" i="5"/>
  <c r="BR63" i="5"/>
  <c r="BE64" i="5"/>
  <c r="BF64" i="5"/>
  <c r="BG64" i="5"/>
  <c r="BH64" i="5"/>
  <c r="BI64" i="5"/>
  <c r="BJ64" i="5"/>
  <c r="BK64" i="5"/>
  <c r="BL64" i="5"/>
  <c r="BM64" i="5"/>
  <c r="BR64" i="5"/>
  <c r="BE65" i="5"/>
  <c r="BF65" i="5"/>
  <c r="BG65" i="5"/>
  <c r="BH65" i="5"/>
  <c r="BI65" i="5"/>
  <c r="BJ65" i="5"/>
  <c r="BK65" i="5"/>
  <c r="BL65" i="5"/>
  <c r="BM65" i="5"/>
  <c r="BN65" i="5"/>
  <c r="BO65" i="5"/>
  <c r="BR65" i="5"/>
  <c r="BE66" i="5"/>
  <c r="BF66" i="5"/>
  <c r="BG66" i="5"/>
  <c r="BH66" i="5"/>
  <c r="BI66" i="5"/>
  <c r="BJ66" i="5"/>
  <c r="BK66" i="5"/>
  <c r="BL66" i="5"/>
  <c r="BM66" i="5"/>
  <c r="BN66" i="5"/>
  <c r="BO66" i="5"/>
  <c r="BR66" i="5"/>
  <c r="BE67" i="5"/>
  <c r="BF67" i="5"/>
  <c r="BG67" i="5"/>
  <c r="BH67" i="5"/>
  <c r="BI67" i="5"/>
  <c r="BJ67" i="5"/>
  <c r="BK67" i="5"/>
  <c r="BL67" i="5"/>
  <c r="BM67" i="5"/>
  <c r="BN67" i="5"/>
  <c r="BO67" i="5"/>
  <c r="BR67" i="5"/>
  <c r="BE68" i="5"/>
  <c r="BF68" i="5"/>
  <c r="BG68" i="5"/>
  <c r="BH68" i="5"/>
  <c r="BI68" i="5"/>
  <c r="BJ68" i="5"/>
  <c r="BK68" i="5"/>
  <c r="BL68" i="5"/>
  <c r="BM68" i="5"/>
  <c r="BN68" i="5"/>
  <c r="BO68" i="5"/>
  <c r="BR68" i="5"/>
  <c r="BE69" i="5"/>
  <c r="BF69" i="5"/>
  <c r="BG69" i="5"/>
  <c r="BH69" i="5"/>
  <c r="BI69" i="5"/>
  <c r="BJ69" i="5"/>
  <c r="BK69" i="5"/>
  <c r="BL69" i="5"/>
  <c r="BM69" i="5"/>
  <c r="BN69" i="5"/>
  <c r="BO69" i="5"/>
  <c r="BR69" i="5"/>
  <c r="BE70" i="5"/>
  <c r="BF70" i="5"/>
  <c r="BG70" i="5"/>
  <c r="BH70" i="5"/>
  <c r="BI70" i="5"/>
  <c r="BJ70" i="5"/>
  <c r="BK70" i="5"/>
  <c r="BL70" i="5"/>
  <c r="BM70" i="5"/>
  <c r="BN70" i="5"/>
  <c r="BO70" i="5"/>
  <c r="BR70" i="5"/>
  <c r="BE71" i="5"/>
  <c r="BF71" i="5"/>
  <c r="BG71" i="5"/>
  <c r="BH71" i="5"/>
  <c r="BI71" i="5"/>
  <c r="BJ71" i="5"/>
  <c r="BK71" i="5"/>
  <c r="BL71" i="5"/>
  <c r="BM71" i="5"/>
  <c r="BN71" i="5"/>
  <c r="BO71" i="5"/>
  <c r="BR71" i="5"/>
  <c r="BE72" i="5"/>
  <c r="BF72" i="5"/>
  <c r="BG72" i="5"/>
  <c r="BH72" i="5"/>
  <c r="BI72" i="5"/>
  <c r="BJ72" i="5"/>
  <c r="BK72" i="5"/>
  <c r="BL72" i="5"/>
  <c r="BM72" i="5"/>
  <c r="BN72" i="5"/>
  <c r="BO72" i="5"/>
  <c r="BR72" i="5"/>
  <c r="BE73" i="5"/>
  <c r="BF73" i="5"/>
  <c r="BG73" i="5"/>
  <c r="BH73" i="5"/>
  <c r="BI73" i="5"/>
  <c r="BJ73" i="5"/>
  <c r="BK73" i="5"/>
  <c r="BL73" i="5"/>
  <c r="BM73" i="5"/>
  <c r="BN73" i="5"/>
  <c r="BO73" i="5"/>
  <c r="BR73" i="5"/>
  <c r="BE74" i="5"/>
  <c r="BF74" i="5"/>
  <c r="BG74" i="5"/>
  <c r="BH74" i="5"/>
  <c r="BI74" i="5"/>
  <c r="BJ74" i="5"/>
  <c r="BK74" i="5"/>
  <c r="BL74" i="5"/>
  <c r="BM74" i="5"/>
  <c r="BN74" i="5"/>
  <c r="BO74" i="5"/>
  <c r="BR74" i="5"/>
  <c r="BE75" i="5"/>
  <c r="BF75" i="5"/>
  <c r="BG75" i="5"/>
  <c r="BH75" i="5"/>
  <c r="BI75" i="5"/>
  <c r="BJ75" i="5"/>
  <c r="BK75" i="5"/>
  <c r="BL75" i="5"/>
  <c r="BM75" i="5"/>
  <c r="BN75" i="5"/>
  <c r="BO75" i="5"/>
  <c r="BR75" i="5"/>
  <c r="BE76" i="5"/>
  <c r="BF76" i="5"/>
  <c r="BG76" i="5"/>
  <c r="BH76" i="5"/>
  <c r="BI76" i="5"/>
  <c r="BJ76" i="5"/>
  <c r="BK76" i="5"/>
  <c r="BL76" i="5"/>
  <c r="BM76" i="5"/>
  <c r="BN76" i="5"/>
  <c r="BO76" i="5"/>
  <c r="BR76" i="5"/>
  <c r="BE77" i="5"/>
  <c r="BF77" i="5"/>
  <c r="BG77" i="5"/>
  <c r="BH77" i="5"/>
  <c r="BI77" i="5"/>
  <c r="BJ77" i="5"/>
  <c r="BK77" i="5"/>
  <c r="BL77" i="5"/>
  <c r="BM77" i="5"/>
  <c r="BN77" i="5"/>
  <c r="BO77" i="5"/>
  <c r="BR77" i="5"/>
  <c r="BE78" i="5"/>
  <c r="BF78" i="5"/>
  <c r="BG78" i="5"/>
  <c r="BH78" i="5"/>
  <c r="BI78" i="5"/>
  <c r="BJ78" i="5"/>
  <c r="BK78" i="5"/>
  <c r="BL78" i="5"/>
  <c r="BM78" i="5"/>
  <c r="BN78" i="5"/>
  <c r="BO78" i="5"/>
  <c r="BR78" i="5"/>
  <c r="BE79" i="5"/>
  <c r="BF79" i="5"/>
  <c r="BG79" i="5"/>
  <c r="BH79" i="5"/>
  <c r="BI79" i="5"/>
  <c r="BJ79" i="5"/>
  <c r="BK79" i="5"/>
  <c r="BL79" i="5"/>
  <c r="BM79" i="5"/>
  <c r="BN79" i="5"/>
  <c r="BO79" i="5"/>
  <c r="BR79" i="5"/>
  <c r="BE80" i="5"/>
  <c r="BF80" i="5"/>
  <c r="BG80" i="5"/>
  <c r="BH80" i="5"/>
  <c r="BI80" i="5"/>
  <c r="BJ80" i="5"/>
  <c r="BK80" i="5"/>
  <c r="BL80" i="5"/>
  <c r="BM80" i="5"/>
  <c r="BN80" i="5"/>
  <c r="BO80" i="5"/>
  <c r="BR80" i="5"/>
  <c r="BE81" i="5"/>
  <c r="BF81" i="5"/>
  <c r="BG81" i="5"/>
  <c r="BH81" i="5"/>
  <c r="BI81" i="5"/>
  <c r="BJ81" i="5"/>
  <c r="BK81" i="5"/>
  <c r="BL81" i="5"/>
  <c r="BM81" i="5"/>
  <c r="BN81" i="5"/>
  <c r="BO81" i="5"/>
  <c r="BR81" i="5"/>
  <c r="BE82" i="5"/>
  <c r="BF82" i="5"/>
  <c r="BG82" i="5"/>
  <c r="BH82" i="5"/>
  <c r="BI82" i="5"/>
  <c r="BJ82" i="5"/>
  <c r="BK82" i="5"/>
  <c r="BL82" i="5"/>
  <c r="BM82" i="5"/>
  <c r="BN82" i="5"/>
  <c r="BO82" i="5"/>
  <c r="BR82" i="5"/>
  <c r="BE83" i="5"/>
  <c r="BF83" i="5"/>
  <c r="BG83" i="5"/>
  <c r="BH83" i="5"/>
  <c r="BI83" i="5"/>
  <c r="BJ83" i="5"/>
  <c r="BK83" i="5"/>
  <c r="BL83" i="5"/>
  <c r="BM83" i="5"/>
  <c r="BN83" i="5"/>
  <c r="BO83" i="5"/>
  <c r="BR83" i="5"/>
  <c r="BE84" i="5"/>
  <c r="BF84" i="5"/>
  <c r="BG84" i="5"/>
  <c r="BH84" i="5"/>
  <c r="BI84" i="5"/>
  <c r="BJ84" i="5"/>
  <c r="BK84" i="5"/>
  <c r="BL84" i="5"/>
  <c r="BM84" i="5"/>
  <c r="BN84" i="5"/>
  <c r="BO84" i="5"/>
  <c r="BR84" i="5"/>
  <c r="BE85" i="5"/>
  <c r="BF85" i="5"/>
  <c r="BG85" i="5"/>
  <c r="BH85" i="5"/>
  <c r="BI85" i="5"/>
  <c r="BJ85" i="5"/>
  <c r="BK85" i="5"/>
  <c r="BL85" i="5"/>
  <c r="BM85" i="5"/>
  <c r="BN85" i="5"/>
  <c r="BO85" i="5"/>
  <c r="BR85" i="5"/>
  <c r="BE86" i="5"/>
  <c r="BF86" i="5"/>
  <c r="BG86" i="5"/>
  <c r="BH86" i="5"/>
  <c r="BI86" i="5"/>
  <c r="BJ86" i="5"/>
  <c r="BK86" i="5"/>
  <c r="BL86" i="5"/>
  <c r="BM86" i="5"/>
  <c r="BN86" i="5"/>
  <c r="BO86" i="5"/>
  <c r="BR86" i="5"/>
  <c r="BE87" i="5"/>
  <c r="BF87" i="5"/>
  <c r="BG87" i="5"/>
  <c r="BH87" i="5"/>
  <c r="BI87" i="5"/>
  <c r="BJ87" i="5"/>
  <c r="BK87" i="5"/>
  <c r="BL87" i="5"/>
  <c r="BM87" i="5"/>
  <c r="BN87" i="5"/>
  <c r="BO87" i="5"/>
  <c r="BR87" i="5"/>
  <c r="BE88" i="5"/>
  <c r="BF88" i="5"/>
  <c r="BG88" i="5"/>
  <c r="BH88" i="5"/>
  <c r="BI88" i="5"/>
  <c r="BJ88" i="5"/>
  <c r="BK88" i="5"/>
  <c r="BL88" i="5"/>
  <c r="BM88" i="5"/>
  <c r="BN88" i="5"/>
  <c r="BO88" i="5"/>
  <c r="BR88" i="5"/>
  <c r="BE89" i="5"/>
  <c r="BF89" i="5"/>
  <c r="BG89" i="5"/>
  <c r="BH89" i="5"/>
  <c r="BI89" i="5"/>
  <c r="BJ89" i="5"/>
  <c r="BK89" i="5"/>
  <c r="BL89" i="5"/>
  <c r="BM89" i="5"/>
  <c r="BN89" i="5"/>
  <c r="BO89" i="5"/>
  <c r="BR89" i="5"/>
  <c r="BE90" i="5"/>
  <c r="BF90" i="5"/>
  <c r="BG90" i="5"/>
  <c r="BH90" i="5"/>
  <c r="BI90" i="5"/>
  <c r="BJ90" i="5"/>
  <c r="BK90" i="5"/>
  <c r="BL90" i="5"/>
  <c r="BM90" i="5"/>
  <c r="BN90" i="5"/>
  <c r="BO90" i="5"/>
  <c r="BR90" i="5"/>
  <c r="BE91" i="5"/>
  <c r="BF91" i="5"/>
  <c r="BG91" i="5"/>
  <c r="BH91" i="5"/>
  <c r="BI91" i="5"/>
  <c r="BJ91" i="5"/>
  <c r="BK91" i="5"/>
  <c r="BL91" i="5"/>
  <c r="BM91" i="5"/>
  <c r="BN91" i="5"/>
  <c r="BO91" i="5"/>
  <c r="BR91" i="5"/>
  <c r="BE92" i="5"/>
  <c r="BF92" i="5"/>
  <c r="BG92" i="5"/>
  <c r="BH92" i="5"/>
  <c r="BI92" i="5"/>
  <c r="BJ92" i="5"/>
  <c r="BK92" i="5"/>
  <c r="BL92" i="5"/>
  <c r="BM92" i="5"/>
  <c r="BN92" i="5"/>
  <c r="BO92" i="5"/>
  <c r="BR92" i="5"/>
  <c r="BE93" i="5"/>
  <c r="BF93" i="5"/>
  <c r="BG93" i="5"/>
  <c r="BH93" i="5"/>
  <c r="BI93" i="5"/>
  <c r="BJ93" i="5"/>
  <c r="BK93" i="5"/>
  <c r="BL93" i="5"/>
  <c r="BM93" i="5"/>
  <c r="BN93" i="5"/>
  <c r="BO93" i="5"/>
  <c r="BR93" i="5"/>
  <c r="BE94" i="5"/>
  <c r="BF94" i="5"/>
  <c r="BG94" i="5"/>
  <c r="BH94" i="5"/>
  <c r="BI94" i="5"/>
  <c r="BJ94" i="5"/>
  <c r="BK94" i="5"/>
  <c r="BL94" i="5"/>
  <c r="BM94" i="5"/>
  <c r="BN94" i="5"/>
  <c r="BO94" i="5"/>
  <c r="BR94" i="5"/>
  <c r="BE95" i="5"/>
  <c r="BF95" i="5"/>
  <c r="BG95" i="5"/>
  <c r="BH95" i="5"/>
  <c r="BI95" i="5"/>
  <c r="BJ95" i="5"/>
  <c r="BK95" i="5"/>
  <c r="BL95" i="5"/>
  <c r="BM95" i="5"/>
  <c r="BN95" i="5"/>
  <c r="BO95" i="5"/>
  <c r="BR95" i="5"/>
  <c r="BE96" i="5"/>
  <c r="BF96" i="5"/>
  <c r="BG96" i="5"/>
  <c r="BH96" i="5"/>
  <c r="BI96" i="5"/>
  <c r="BJ96" i="5"/>
  <c r="BK96" i="5"/>
  <c r="BL96" i="5"/>
  <c r="BM96" i="5"/>
  <c r="BN96" i="5"/>
  <c r="BO96" i="5"/>
  <c r="BR96" i="5"/>
  <c r="BE97" i="5"/>
  <c r="BF97" i="5"/>
  <c r="BG97" i="5"/>
  <c r="BH97" i="5"/>
  <c r="BI97" i="5"/>
  <c r="BJ97" i="5"/>
  <c r="BK97" i="5"/>
  <c r="BL97" i="5"/>
  <c r="BM97" i="5"/>
  <c r="BN97" i="5"/>
  <c r="BO97" i="5"/>
  <c r="BR97" i="5"/>
  <c r="BE98" i="5"/>
  <c r="BF98" i="5"/>
  <c r="BG98" i="5"/>
  <c r="BH98" i="5"/>
  <c r="BI98" i="5"/>
  <c r="BJ98" i="5"/>
  <c r="BK98" i="5"/>
  <c r="BL98" i="5"/>
  <c r="BM98" i="5"/>
  <c r="BN98" i="5"/>
  <c r="BO98" i="5"/>
  <c r="BR98" i="5"/>
  <c r="BE99" i="5"/>
  <c r="BF99" i="5"/>
  <c r="BG99" i="5"/>
  <c r="BH99" i="5"/>
  <c r="BI99" i="5"/>
  <c r="BJ99" i="5"/>
  <c r="BK99" i="5"/>
  <c r="BL99" i="5"/>
  <c r="BM99" i="5"/>
  <c r="BN99" i="5"/>
  <c r="BO99" i="5"/>
  <c r="BR99" i="5"/>
  <c r="BE100" i="5"/>
  <c r="BF100" i="5"/>
  <c r="BG100" i="5"/>
  <c r="BH100" i="5"/>
  <c r="BI100" i="5"/>
  <c r="BJ100" i="5"/>
  <c r="BK100" i="5"/>
  <c r="BL100" i="5"/>
  <c r="BM100" i="5"/>
  <c r="BN100" i="5"/>
  <c r="BO100" i="5"/>
  <c r="BR100" i="5"/>
  <c r="BE101" i="5"/>
  <c r="BF101" i="5"/>
  <c r="BG101" i="5"/>
  <c r="BH101" i="5"/>
  <c r="BI101" i="5"/>
  <c r="BJ101" i="5"/>
  <c r="BK101" i="5"/>
  <c r="BL101" i="5"/>
  <c r="BM101" i="5"/>
  <c r="BN101" i="5"/>
  <c r="BO101" i="5"/>
  <c r="BR101" i="5"/>
  <c r="BE102" i="5"/>
  <c r="BF102" i="5"/>
  <c r="BG102" i="5"/>
  <c r="BH102" i="5"/>
  <c r="BI102" i="5"/>
  <c r="BJ102" i="5"/>
  <c r="BK102" i="5"/>
  <c r="BL102" i="5"/>
  <c r="BM102" i="5"/>
  <c r="BN102" i="5"/>
  <c r="BO102" i="5"/>
  <c r="BR102" i="5"/>
  <c r="BE103" i="5"/>
  <c r="BF103" i="5"/>
  <c r="BG103" i="5"/>
  <c r="BH103" i="5"/>
  <c r="BI103" i="5"/>
  <c r="BJ103" i="5"/>
  <c r="BK103" i="5"/>
  <c r="BL103" i="5"/>
  <c r="BM103" i="5"/>
  <c r="BN103" i="5"/>
  <c r="BO103" i="5"/>
  <c r="BR103" i="5"/>
  <c r="BE104" i="5"/>
  <c r="BF104" i="5"/>
  <c r="BG104" i="5"/>
  <c r="BH104" i="5"/>
  <c r="BI104" i="5"/>
  <c r="BJ104" i="5"/>
  <c r="BK104" i="5"/>
  <c r="BL104" i="5"/>
  <c r="BM104" i="5"/>
  <c r="BN104" i="5"/>
  <c r="BO104" i="5"/>
  <c r="BR104" i="5"/>
  <c r="BE105" i="5"/>
  <c r="BF105" i="5"/>
  <c r="BG105" i="5"/>
  <c r="BH105" i="5"/>
  <c r="BI105" i="5"/>
  <c r="BJ105" i="5"/>
  <c r="BK105" i="5"/>
  <c r="BL105" i="5"/>
  <c r="BM105" i="5"/>
  <c r="BQ105" i="5"/>
  <c r="BR105" i="5"/>
  <c r="BE106" i="5"/>
  <c r="BF106" i="5"/>
  <c r="BG106" i="5"/>
  <c r="BH106" i="5"/>
  <c r="BI106" i="5"/>
  <c r="BJ106" i="5"/>
  <c r="BK106" i="5"/>
  <c r="BL106" i="5"/>
  <c r="BM106" i="5"/>
  <c r="BQ106" i="5"/>
  <c r="BR106" i="5"/>
  <c r="BE107" i="5"/>
  <c r="BF107" i="5"/>
  <c r="BG107" i="5"/>
  <c r="BH107" i="5"/>
  <c r="BI107" i="5"/>
  <c r="BJ107" i="5"/>
  <c r="BK107" i="5"/>
  <c r="BL107" i="5"/>
  <c r="BM107" i="5"/>
  <c r="BQ107" i="5"/>
  <c r="BR107" i="5"/>
  <c r="BE108" i="5"/>
  <c r="BF108" i="5"/>
  <c r="BG108" i="5"/>
  <c r="BH108" i="5"/>
  <c r="BI108" i="5"/>
  <c r="BJ108" i="5"/>
  <c r="BK108" i="5"/>
  <c r="BL108" i="5"/>
  <c r="BM108" i="5"/>
  <c r="BQ108" i="5"/>
  <c r="BR108" i="5"/>
  <c r="BE109" i="5"/>
  <c r="BF109" i="5"/>
  <c r="BG109" i="5"/>
  <c r="BH109" i="5"/>
  <c r="BI109" i="5"/>
  <c r="BJ109" i="5"/>
  <c r="BK109" i="5"/>
  <c r="BL109" i="5"/>
  <c r="BM109" i="5"/>
  <c r="BN109" i="5"/>
  <c r="BO109" i="5"/>
  <c r="BR109" i="5"/>
  <c r="BE110" i="5"/>
  <c r="BF110" i="5"/>
  <c r="BG110" i="5"/>
  <c r="BH110" i="5"/>
  <c r="BI110" i="5"/>
  <c r="BJ110" i="5"/>
  <c r="BK110" i="5"/>
  <c r="BL110" i="5"/>
  <c r="BM110" i="5"/>
  <c r="BN110" i="5"/>
  <c r="BO110" i="5"/>
  <c r="BR110" i="5"/>
  <c r="BE111" i="5"/>
  <c r="BF111" i="5"/>
  <c r="BG111" i="5"/>
  <c r="BH111" i="5"/>
  <c r="BI111" i="5"/>
  <c r="BJ111" i="5"/>
  <c r="BK111" i="5"/>
  <c r="BL111" i="5"/>
  <c r="BM111" i="5"/>
  <c r="BN111" i="5"/>
  <c r="BO111" i="5"/>
  <c r="BR111" i="5"/>
  <c r="BE112" i="5"/>
  <c r="BF112" i="5"/>
  <c r="BG112" i="5"/>
  <c r="BH112" i="5"/>
  <c r="BI112" i="5"/>
  <c r="BJ112" i="5"/>
  <c r="BK112" i="5"/>
  <c r="BL112" i="5"/>
  <c r="BM112" i="5"/>
  <c r="BN112" i="5"/>
  <c r="BO112" i="5"/>
  <c r="BR112" i="5"/>
  <c r="BE113" i="5"/>
  <c r="BF113" i="5"/>
  <c r="BG113" i="5"/>
  <c r="BH113" i="5"/>
  <c r="BI113" i="5"/>
  <c r="BJ113" i="5"/>
  <c r="BK113" i="5"/>
  <c r="BL113" i="5"/>
  <c r="BM113" i="5"/>
  <c r="BN113" i="5"/>
  <c r="BO113" i="5"/>
  <c r="BR113" i="5"/>
  <c r="BE114" i="5"/>
  <c r="BF114" i="5"/>
  <c r="BG114" i="5"/>
  <c r="BH114" i="5"/>
  <c r="BI114" i="5"/>
  <c r="BJ114" i="5"/>
  <c r="BK114" i="5"/>
  <c r="BL114" i="5"/>
  <c r="BM114" i="5"/>
  <c r="BN114" i="5"/>
  <c r="BO114" i="5"/>
  <c r="BR114" i="5"/>
  <c r="BE115" i="5"/>
  <c r="BF115" i="5"/>
  <c r="BG115" i="5"/>
  <c r="BH115" i="5"/>
  <c r="BI115" i="5"/>
  <c r="BJ115" i="5"/>
  <c r="BK115" i="5"/>
  <c r="BL115" i="5"/>
  <c r="BM115" i="5"/>
  <c r="BN115" i="5"/>
  <c r="BO115" i="5"/>
  <c r="BR115" i="5"/>
  <c r="BE116" i="5"/>
  <c r="BF116" i="5"/>
  <c r="BG116" i="5"/>
  <c r="BH116" i="5"/>
  <c r="BI116" i="5"/>
  <c r="BJ116" i="5"/>
  <c r="BK116" i="5"/>
  <c r="BL116" i="5"/>
  <c r="BM116" i="5"/>
  <c r="BN116" i="5"/>
  <c r="BO116" i="5"/>
  <c r="BR116" i="5"/>
  <c r="BE117" i="5"/>
  <c r="BF117" i="5"/>
  <c r="BG117" i="5"/>
  <c r="BH117" i="5"/>
  <c r="BI117" i="5"/>
  <c r="BJ117" i="5"/>
  <c r="BK117" i="5"/>
  <c r="BL117" i="5"/>
  <c r="BM117" i="5"/>
  <c r="BN117" i="5"/>
  <c r="BO117" i="5"/>
  <c r="BR117" i="5"/>
  <c r="BE118" i="5"/>
  <c r="BF118" i="5"/>
  <c r="BG118" i="5"/>
  <c r="BH118" i="5"/>
  <c r="BI118" i="5"/>
  <c r="BJ118" i="5"/>
  <c r="BK118" i="5"/>
  <c r="BL118" i="5"/>
  <c r="BM118" i="5"/>
  <c r="BN118" i="5"/>
  <c r="BO118" i="5"/>
  <c r="BR118" i="5"/>
  <c r="BE119" i="5"/>
  <c r="BF119" i="5"/>
  <c r="BG119" i="5"/>
  <c r="BH119" i="5"/>
  <c r="BI119" i="5"/>
  <c r="BJ119" i="5"/>
  <c r="BK119" i="5"/>
  <c r="BL119" i="5"/>
  <c r="BM119" i="5"/>
  <c r="BN119" i="5"/>
  <c r="BO119" i="5"/>
  <c r="BR119" i="5"/>
  <c r="BE120" i="5"/>
  <c r="BF120" i="5"/>
  <c r="BG120" i="5"/>
  <c r="BH120" i="5"/>
  <c r="BI120" i="5"/>
  <c r="BJ120" i="5"/>
  <c r="BK120" i="5"/>
  <c r="BL120" i="5"/>
  <c r="BM120" i="5"/>
  <c r="BN120" i="5"/>
  <c r="BO120" i="5"/>
  <c r="BR120" i="5"/>
  <c r="BE121" i="5"/>
  <c r="BF121" i="5"/>
  <c r="BG121" i="5"/>
  <c r="BH121" i="5"/>
  <c r="BI121" i="5"/>
  <c r="BJ121" i="5"/>
  <c r="BK121" i="5"/>
  <c r="BL121" i="5"/>
  <c r="BM121" i="5"/>
  <c r="BN121" i="5"/>
  <c r="BO121" i="5"/>
  <c r="BR121" i="5"/>
  <c r="BE122" i="5"/>
  <c r="BF122" i="5"/>
  <c r="BG122" i="5"/>
  <c r="BH122" i="5"/>
  <c r="BI122" i="5"/>
  <c r="BJ122" i="5"/>
  <c r="BK122" i="5"/>
  <c r="BL122" i="5"/>
  <c r="BM122" i="5"/>
  <c r="BN122" i="5"/>
  <c r="BO122" i="5"/>
  <c r="BR122" i="5"/>
  <c r="BE123" i="5"/>
  <c r="BF123" i="5"/>
  <c r="BG123" i="5"/>
  <c r="BH123" i="5"/>
  <c r="BI123" i="5"/>
  <c r="BJ123" i="5"/>
  <c r="BK123" i="5"/>
  <c r="BL123" i="5"/>
  <c r="BM123" i="5"/>
  <c r="BN123" i="5"/>
  <c r="BO123" i="5"/>
  <c r="BR123" i="5"/>
  <c r="BE124" i="5"/>
  <c r="BF124" i="5"/>
  <c r="BG124" i="5"/>
  <c r="BH124" i="5"/>
  <c r="BI124" i="5"/>
  <c r="BJ124" i="5"/>
  <c r="BK124" i="5"/>
  <c r="BL124" i="5"/>
  <c r="BM124" i="5"/>
  <c r="BN124" i="5"/>
  <c r="BO124" i="5"/>
  <c r="BR124" i="5"/>
  <c r="BE125" i="5"/>
  <c r="BF125" i="5"/>
  <c r="BG125" i="5"/>
  <c r="BH125" i="5"/>
  <c r="BI125" i="5"/>
  <c r="BJ125" i="5"/>
  <c r="BK125" i="5"/>
  <c r="BL125" i="5"/>
  <c r="BM125" i="5"/>
  <c r="BN125" i="5"/>
  <c r="BO125" i="5"/>
  <c r="BR125" i="5"/>
  <c r="BE126" i="5"/>
  <c r="BF126" i="5"/>
  <c r="BG126" i="5"/>
  <c r="BH126" i="5"/>
  <c r="BI126" i="5"/>
  <c r="BJ126" i="5"/>
  <c r="BK126" i="5"/>
  <c r="BL126" i="5"/>
  <c r="BM126" i="5"/>
  <c r="BN126" i="5"/>
  <c r="BO126" i="5"/>
  <c r="BR126" i="5"/>
  <c r="BE127" i="5"/>
  <c r="BF127" i="5"/>
  <c r="BG127" i="5"/>
  <c r="BH127" i="5"/>
  <c r="BI127" i="5"/>
  <c r="BJ127" i="5"/>
  <c r="BK127" i="5"/>
  <c r="BL127" i="5"/>
  <c r="BM127" i="5"/>
  <c r="BN127" i="5"/>
  <c r="BO127" i="5"/>
  <c r="BR127" i="5"/>
  <c r="BE128" i="5"/>
  <c r="BF128" i="5"/>
  <c r="BG128" i="5"/>
  <c r="BH128" i="5"/>
  <c r="BI128" i="5"/>
  <c r="BJ128" i="5"/>
  <c r="BK128" i="5"/>
  <c r="BL128" i="5"/>
  <c r="BM128" i="5"/>
  <c r="BN128" i="5"/>
  <c r="BO128" i="5"/>
  <c r="BR128" i="5"/>
  <c r="BE129" i="5"/>
  <c r="BF129" i="5"/>
  <c r="BG129" i="5"/>
  <c r="BH129" i="5"/>
  <c r="BI129" i="5"/>
  <c r="BJ129" i="5"/>
  <c r="BK129" i="5"/>
  <c r="BL129" i="5"/>
  <c r="BM129" i="5"/>
  <c r="BN129" i="5"/>
  <c r="BO129" i="5"/>
  <c r="BR129" i="5"/>
  <c r="BE130" i="5"/>
  <c r="BF130" i="5"/>
  <c r="BG130" i="5"/>
  <c r="BH130" i="5"/>
  <c r="BI130" i="5"/>
  <c r="BJ130" i="5"/>
  <c r="BK130" i="5"/>
  <c r="BL130" i="5"/>
  <c r="BM130" i="5"/>
  <c r="BN130" i="5"/>
  <c r="BO130" i="5"/>
  <c r="BR130" i="5"/>
  <c r="BE131" i="5"/>
  <c r="BF131" i="5"/>
  <c r="BG131" i="5"/>
  <c r="BH131" i="5"/>
  <c r="BI131" i="5"/>
  <c r="BJ131" i="5"/>
  <c r="BK131" i="5"/>
  <c r="BL131" i="5"/>
  <c r="BM131" i="5"/>
  <c r="BN131" i="5"/>
  <c r="BO131" i="5"/>
  <c r="BR131" i="5"/>
  <c r="BE132" i="5"/>
  <c r="BF132" i="5"/>
  <c r="BG132" i="5"/>
  <c r="BH132" i="5"/>
  <c r="BI132" i="5"/>
  <c r="BJ132" i="5"/>
  <c r="BK132" i="5"/>
  <c r="BL132" i="5"/>
  <c r="BM132" i="5"/>
  <c r="BN132" i="5"/>
  <c r="BO132" i="5"/>
  <c r="BR132" i="5"/>
  <c r="BE133" i="5"/>
  <c r="BF133" i="5"/>
  <c r="BG133" i="5"/>
  <c r="BH133" i="5"/>
  <c r="BI133" i="5"/>
  <c r="BJ133" i="5"/>
  <c r="BK133" i="5"/>
  <c r="BL133" i="5"/>
  <c r="BM133" i="5"/>
  <c r="BN133" i="5"/>
  <c r="BO133" i="5"/>
  <c r="BR133" i="5"/>
  <c r="BE134" i="5"/>
  <c r="BF134" i="5"/>
  <c r="BG134" i="5"/>
  <c r="BH134" i="5"/>
  <c r="BI134" i="5"/>
  <c r="BJ134" i="5"/>
  <c r="BK134" i="5"/>
  <c r="BL134" i="5"/>
  <c r="BM134" i="5"/>
  <c r="BN134" i="5"/>
  <c r="BO134" i="5"/>
  <c r="BR134" i="5"/>
  <c r="BE135" i="5"/>
  <c r="BF135" i="5"/>
  <c r="BG135" i="5"/>
  <c r="BH135" i="5"/>
  <c r="BI135" i="5"/>
  <c r="BJ135" i="5"/>
  <c r="BK135" i="5"/>
  <c r="BL135" i="5"/>
  <c r="BM135" i="5"/>
  <c r="BN135" i="5"/>
  <c r="BO135" i="5"/>
  <c r="BR135" i="5"/>
  <c r="BE136" i="5"/>
  <c r="BF136" i="5"/>
  <c r="BG136" i="5"/>
  <c r="BH136" i="5"/>
  <c r="BI136" i="5"/>
  <c r="BJ136" i="5"/>
  <c r="BK136" i="5"/>
  <c r="BL136" i="5"/>
  <c r="BM136" i="5"/>
  <c r="BN136" i="5"/>
  <c r="BO136" i="5"/>
  <c r="BR136" i="5"/>
  <c r="BE137" i="5"/>
  <c r="BF137" i="5"/>
  <c r="BG137" i="5"/>
  <c r="BH137" i="5"/>
  <c r="BI137" i="5"/>
  <c r="BJ137" i="5"/>
  <c r="BK137" i="5"/>
  <c r="BL137" i="5"/>
  <c r="BM137" i="5"/>
  <c r="BN137" i="5"/>
  <c r="BO137" i="5"/>
  <c r="BR137" i="5"/>
  <c r="BE138" i="5"/>
  <c r="BF138" i="5"/>
  <c r="BG138" i="5"/>
  <c r="BH138" i="5"/>
  <c r="BI138" i="5"/>
  <c r="BJ138" i="5"/>
  <c r="BK138" i="5"/>
  <c r="BL138" i="5"/>
  <c r="BM138" i="5"/>
  <c r="BN138" i="5"/>
  <c r="BO138" i="5"/>
  <c r="BR138" i="5"/>
  <c r="BE139" i="5"/>
  <c r="BF139" i="5"/>
  <c r="BG139" i="5"/>
  <c r="BH139" i="5"/>
  <c r="BI139" i="5"/>
  <c r="BJ139" i="5"/>
  <c r="BK139" i="5"/>
  <c r="BL139" i="5"/>
  <c r="BM139" i="5"/>
  <c r="BN139" i="5"/>
  <c r="BO139" i="5"/>
  <c r="BR139" i="5"/>
  <c r="BE140" i="5"/>
  <c r="BF140" i="5"/>
  <c r="BG140" i="5"/>
  <c r="BH140" i="5"/>
  <c r="BI140" i="5"/>
  <c r="BJ140" i="5"/>
  <c r="BK140" i="5"/>
  <c r="BL140" i="5"/>
  <c r="BM140" i="5"/>
  <c r="BN140" i="5"/>
  <c r="BO140" i="5"/>
  <c r="BR140" i="5"/>
  <c r="BE141" i="5"/>
  <c r="BF141" i="5"/>
  <c r="BG141" i="5"/>
  <c r="BH141" i="5"/>
  <c r="BI141" i="5"/>
  <c r="BJ141" i="5"/>
  <c r="BK141" i="5"/>
  <c r="BL141" i="5"/>
  <c r="BM141" i="5"/>
  <c r="BN141" i="5"/>
  <c r="BO141" i="5"/>
  <c r="BR141" i="5"/>
  <c r="BE142" i="5"/>
  <c r="BF142" i="5"/>
  <c r="BG142" i="5"/>
  <c r="BH142" i="5"/>
  <c r="BI142" i="5"/>
  <c r="BJ142" i="5"/>
  <c r="BK142" i="5"/>
  <c r="BL142" i="5"/>
  <c r="BM142" i="5"/>
  <c r="BN142" i="5"/>
  <c r="BO142" i="5"/>
  <c r="BR142" i="5"/>
  <c r="BE143" i="5"/>
  <c r="BF143" i="5"/>
  <c r="BG143" i="5"/>
  <c r="BH143" i="5"/>
  <c r="BI143" i="5"/>
  <c r="BJ143" i="5"/>
  <c r="BK143" i="5"/>
  <c r="BL143" i="5"/>
  <c r="BM143" i="5"/>
  <c r="BN143" i="5"/>
  <c r="BO143" i="5"/>
  <c r="BR143" i="5"/>
  <c r="BE144" i="5"/>
  <c r="BF144" i="5"/>
  <c r="BG144" i="5"/>
  <c r="BH144" i="5"/>
  <c r="BI144" i="5"/>
  <c r="BJ144" i="5"/>
  <c r="BK144" i="5"/>
  <c r="BL144" i="5"/>
  <c r="BM144" i="5"/>
  <c r="BN144" i="5"/>
  <c r="BO144" i="5"/>
  <c r="BR144" i="5"/>
  <c r="BE145" i="5"/>
  <c r="BF145" i="5"/>
  <c r="BG145" i="5"/>
  <c r="BH145" i="5"/>
  <c r="BI145" i="5"/>
  <c r="BJ145" i="5"/>
  <c r="BK145" i="5"/>
  <c r="BL145" i="5"/>
  <c r="BM145" i="5"/>
  <c r="BN145" i="5"/>
  <c r="BO145" i="5"/>
  <c r="BR145" i="5"/>
  <c r="BE146" i="5"/>
  <c r="BF146" i="5"/>
  <c r="BG146" i="5"/>
  <c r="BH146" i="5"/>
  <c r="BI146" i="5"/>
  <c r="BJ146" i="5"/>
  <c r="BK146" i="5"/>
  <c r="BL146" i="5"/>
  <c r="BM146" i="5"/>
  <c r="BN146" i="5"/>
  <c r="BO146" i="5"/>
  <c r="BR146" i="5"/>
  <c r="BE147" i="5"/>
  <c r="BF147" i="5"/>
  <c r="BG147" i="5"/>
  <c r="BH147" i="5"/>
  <c r="BI147" i="5"/>
  <c r="BJ147" i="5"/>
  <c r="BK147" i="5"/>
  <c r="BL147" i="5"/>
  <c r="BM147" i="5"/>
  <c r="BN147" i="5"/>
  <c r="BO147" i="5"/>
  <c r="BR147" i="5"/>
  <c r="BE148" i="5"/>
  <c r="BF148" i="5"/>
  <c r="BG148" i="5"/>
  <c r="BH148" i="5"/>
  <c r="BI148" i="5"/>
  <c r="BJ148" i="5"/>
  <c r="BK148" i="5"/>
  <c r="BL148" i="5"/>
  <c r="BM148" i="5"/>
  <c r="BN148" i="5"/>
  <c r="BO148" i="5"/>
  <c r="BR148" i="5"/>
  <c r="BE149" i="5"/>
  <c r="BF149" i="5"/>
  <c r="BG149" i="5"/>
  <c r="BH149" i="5"/>
  <c r="BI149" i="5"/>
  <c r="BJ149" i="5"/>
  <c r="BK149" i="5"/>
  <c r="BL149" i="5"/>
  <c r="BM149" i="5"/>
  <c r="BN149" i="5"/>
  <c r="BO149" i="5"/>
  <c r="BR149" i="5"/>
  <c r="BE150" i="5"/>
  <c r="BF150" i="5"/>
  <c r="BG150" i="5"/>
  <c r="BH150" i="5"/>
  <c r="BI150" i="5"/>
  <c r="BJ150" i="5"/>
  <c r="BK150" i="5"/>
  <c r="BL150" i="5"/>
  <c r="BM150" i="5"/>
  <c r="BN150" i="5"/>
  <c r="BO150" i="5"/>
  <c r="BR150" i="5"/>
  <c r="BE151" i="5"/>
  <c r="BF151" i="5"/>
  <c r="BG151" i="5"/>
  <c r="BH151" i="5"/>
  <c r="BI151" i="5"/>
  <c r="BJ151" i="5"/>
  <c r="BK151" i="5"/>
  <c r="BL151" i="5"/>
  <c r="BM151" i="5"/>
  <c r="BN151" i="5"/>
  <c r="BO151" i="5"/>
  <c r="BR151" i="5"/>
  <c r="BE152" i="5"/>
  <c r="BF152" i="5"/>
  <c r="BG152" i="5"/>
  <c r="BH152" i="5"/>
  <c r="BI152" i="5"/>
  <c r="BJ152" i="5"/>
  <c r="BK152" i="5"/>
  <c r="BL152" i="5"/>
  <c r="BM152" i="5"/>
  <c r="BN152" i="5"/>
  <c r="BO152" i="5"/>
  <c r="BR152" i="5"/>
  <c r="BE153" i="5"/>
  <c r="BF153" i="5"/>
  <c r="BG153" i="5"/>
  <c r="BH153" i="5"/>
  <c r="BI153" i="5"/>
  <c r="BJ153" i="5"/>
  <c r="BK153" i="5"/>
  <c r="BL153" i="5"/>
  <c r="BM153" i="5"/>
  <c r="BN153" i="5"/>
  <c r="BO153" i="5"/>
  <c r="BR153" i="5"/>
  <c r="BE154" i="5"/>
  <c r="BF154" i="5"/>
  <c r="BG154" i="5"/>
  <c r="BH154" i="5"/>
  <c r="BI154" i="5"/>
  <c r="BJ154" i="5"/>
  <c r="BK154" i="5"/>
  <c r="BL154" i="5"/>
  <c r="BM154" i="5"/>
  <c r="BN154" i="5"/>
  <c r="BO154" i="5"/>
  <c r="BR154" i="5"/>
  <c r="BE155" i="5"/>
  <c r="BF155" i="5"/>
  <c r="BG155" i="5"/>
  <c r="BH155" i="5"/>
  <c r="BI155" i="5"/>
  <c r="BJ155" i="5"/>
  <c r="BK155" i="5"/>
  <c r="BL155" i="5"/>
  <c r="BM155" i="5"/>
  <c r="BN155" i="5"/>
  <c r="BO155" i="5"/>
  <c r="BR155" i="5"/>
  <c r="BE156" i="5"/>
  <c r="BF156" i="5"/>
  <c r="BG156" i="5"/>
  <c r="BH156" i="5"/>
  <c r="BI156" i="5"/>
  <c r="BJ156" i="5"/>
  <c r="BK156" i="5"/>
  <c r="BL156" i="5"/>
  <c r="BM156" i="5"/>
  <c r="BN156" i="5"/>
  <c r="BO156" i="5"/>
  <c r="BR156" i="5"/>
  <c r="BE157" i="5"/>
  <c r="BF157" i="5"/>
  <c r="BG157" i="5"/>
  <c r="BH157" i="5"/>
  <c r="BI157" i="5"/>
  <c r="BJ157" i="5"/>
  <c r="BK157" i="5"/>
  <c r="BL157" i="5"/>
  <c r="BM157" i="5"/>
  <c r="BN157" i="5"/>
  <c r="BO157" i="5"/>
  <c r="BR157" i="5"/>
  <c r="BE158" i="5"/>
  <c r="BF158" i="5"/>
  <c r="BG158" i="5"/>
  <c r="BH158" i="5"/>
  <c r="BI158" i="5"/>
  <c r="BJ158" i="5"/>
  <c r="BK158" i="5"/>
  <c r="BL158" i="5"/>
  <c r="BM158" i="5"/>
  <c r="BN158" i="5"/>
  <c r="BO158" i="5"/>
  <c r="BR158" i="5"/>
  <c r="BE159" i="5"/>
  <c r="BF159" i="5"/>
  <c r="BG159" i="5"/>
  <c r="BH159" i="5"/>
  <c r="BI159" i="5"/>
  <c r="BJ159" i="5"/>
  <c r="BK159" i="5"/>
  <c r="BL159" i="5"/>
  <c r="BM159" i="5"/>
  <c r="BN159" i="5"/>
  <c r="BO159" i="5"/>
  <c r="BR159" i="5"/>
  <c r="BE160" i="5"/>
  <c r="BF160" i="5"/>
  <c r="BG160" i="5"/>
  <c r="BH160" i="5"/>
  <c r="BI160" i="5"/>
  <c r="BJ160" i="5"/>
  <c r="BK160" i="5"/>
  <c r="BL160" i="5"/>
  <c r="BM160" i="5"/>
  <c r="BN160" i="5"/>
  <c r="BO160" i="5"/>
  <c r="BR160" i="5"/>
  <c r="BE161" i="5"/>
  <c r="BF161" i="5"/>
  <c r="BG161" i="5"/>
  <c r="BH161" i="5"/>
  <c r="BI161" i="5"/>
  <c r="BJ161" i="5"/>
  <c r="BK161" i="5"/>
  <c r="BL161" i="5"/>
  <c r="BM161" i="5"/>
  <c r="BN161" i="5"/>
  <c r="BO161" i="5"/>
  <c r="BR161" i="5"/>
  <c r="BE162" i="5"/>
  <c r="BF162" i="5"/>
  <c r="BG162" i="5"/>
  <c r="BH162" i="5"/>
  <c r="BI162" i="5"/>
  <c r="BJ162" i="5"/>
  <c r="BK162" i="5"/>
  <c r="BL162" i="5"/>
  <c r="BM162" i="5"/>
  <c r="BN162" i="5"/>
  <c r="BO162" i="5"/>
  <c r="BR162" i="5"/>
  <c r="BE163" i="5"/>
  <c r="BF163" i="5"/>
  <c r="BG163" i="5"/>
  <c r="BH163" i="5"/>
  <c r="BI163" i="5"/>
  <c r="BJ163" i="5"/>
  <c r="BK163" i="5"/>
  <c r="BL163" i="5"/>
  <c r="BM163" i="5"/>
  <c r="BN163" i="5"/>
  <c r="BO163" i="5"/>
  <c r="BR163" i="5"/>
  <c r="BE164" i="5"/>
  <c r="BF164" i="5"/>
  <c r="BG164" i="5"/>
  <c r="BH164" i="5"/>
  <c r="BI164" i="5"/>
  <c r="BJ164" i="5"/>
  <c r="BK164" i="5"/>
  <c r="BL164" i="5"/>
  <c r="BM164" i="5"/>
  <c r="BN164" i="5"/>
  <c r="BO164" i="5"/>
  <c r="BR164" i="5"/>
  <c r="BE165" i="5"/>
  <c r="BF165" i="5"/>
  <c r="BG165" i="5"/>
  <c r="BH165" i="5"/>
  <c r="BI165" i="5"/>
  <c r="BJ165" i="5"/>
  <c r="BK165" i="5"/>
  <c r="BL165" i="5"/>
  <c r="BM165" i="5"/>
  <c r="BN165" i="5"/>
  <c r="BO165" i="5"/>
  <c r="BR165" i="5"/>
  <c r="BE166" i="5"/>
  <c r="BF166" i="5"/>
  <c r="BG166" i="5"/>
  <c r="BH166" i="5"/>
  <c r="BI166" i="5"/>
  <c r="BJ166" i="5"/>
  <c r="BK166" i="5"/>
  <c r="BL166" i="5"/>
  <c r="BM166" i="5"/>
  <c r="BN166" i="5"/>
  <c r="BO166" i="5"/>
  <c r="BR166" i="5"/>
  <c r="BE167" i="5"/>
  <c r="BF167" i="5"/>
  <c r="BG167" i="5"/>
  <c r="BH167" i="5"/>
  <c r="BI167" i="5"/>
  <c r="BJ167" i="5"/>
  <c r="BK167" i="5"/>
  <c r="BL167" i="5"/>
  <c r="BM167" i="5"/>
  <c r="BN167" i="5"/>
  <c r="BO167" i="5"/>
  <c r="BR167" i="5"/>
  <c r="BE168" i="5"/>
  <c r="BF168" i="5"/>
  <c r="BG168" i="5"/>
  <c r="BH168" i="5"/>
  <c r="BI168" i="5"/>
  <c r="BJ168" i="5"/>
  <c r="BK168" i="5"/>
  <c r="BL168" i="5"/>
  <c r="BM168" i="5"/>
  <c r="BN168" i="5"/>
  <c r="BO168" i="5"/>
  <c r="BR168" i="5"/>
  <c r="BE169" i="5"/>
  <c r="BF169" i="5"/>
  <c r="BG169" i="5"/>
  <c r="BH169" i="5"/>
  <c r="BI169" i="5"/>
  <c r="BJ169" i="5"/>
  <c r="BK169" i="5"/>
  <c r="BL169" i="5"/>
  <c r="BM169" i="5"/>
  <c r="BN169" i="5"/>
  <c r="BO169" i="5"/>
  <c r="BR169" i="5"/>
  <c r="BE170" i="5"/>
  <c r="BF170" i="5"/>
  <c r="BG170" i="5"/>
  <c r="BH170" i="5"/>
  <c r="BI170" i="5"/>
  <c r="BJ170" i="5"/>
  <c r="BK170" i="5"/>
  <c r="BL170" i="5"/>
  <c r="BM170" i="5"/>
  <c r="BN170" i="5"/>
  <c r="BO170" i="5"/>
  <c r="BR170" i="5"/>
  <c r="BE171" i="5"/>
  <c r="BF171" i="5"/>
  <c r="BG171" i="5"/>
  <c r="BH171" i="5"/>
  <c r="BI171" i="5"/>
  <c r="BJ171" i="5"/>
  <c r="BK171" i="5"/>
  <c r="BL171" i="5"/>
  <c r="BM171" i="5"/>
  <c r="BN171" i="5"/>
  <c r="BO171" i="5"/>
  <c r="BR171" i="5"/>
  <c r="BE172" i="5"/>
  <c r="BF172" i="5"/>
  <c r="BG172" i="5"/>
  <c r="BH172" i="5"/>
  <c r="BI172" i="5"/>
  <c r="BJ172" i="5"/>
  <c r="BK172" i="5"/>
  <c r="BL172" i="5"/>
  <c r="BM172" i="5"/>
  <c r="BN172" i="5"/>
  <c r="BO172" i="5"/>
  <c r="BR172" i="5"/>
  <c r="BE173" i="5"/>
  <c r="BF173" i="5"/>
  <c r="BG173" i="5"/>
  <c r="BH173" i="5"/>
  <c r="BI173" i="5"/>
  <c r="BJ173" i="5"/>
  <c r="BK173" i="5"/>
  <c r="BL173" i="5"/>
  <c r="BM173" i="5"/>
  <c r="BN173" i="5"/>
  <c r="BO173" i="5"/>
  <c r="BR173" i="5"/>
  <c r="BE174" i="5"/>
  <c r="BF174" i="5"/>
  <c r="BG174" i="5"/>
  <c r="BH174" i="5"/>
  <c r="BI174" i="5"/>
  <c r="BJ174" i="5"/>
  <c r="BK174" i="5"/>
  <c r="BL174" i="5"/>
  <c r="BM174" i="5"/>
  <c r="BN174" i="5"/>
  <c r="BO174" i="5"/>
  <c r="BR174" i="5"/>
  <c r="BE175" i="5"/>
  <c r="BF175" i="5"/>
  <c r="BG175" i="5"/>
  <c r="BH175" i="5"/>
  <c r="BI175" i="5"/>
  <c r="BJ175" i="5"/>
  <c r="BK175" i="5"/>
  <c r="BL175" i="5"/>
  <c r="BM175" i="5"/>
  <c r="BN175" i="5"/>
  <c r="BO175" i="5"/>
  <c r="BR175" i="5"/>
  <c r="BE176" i="5"/>
  <c r="BF176" i="5"/>
  <c r="BG176" i="5"/>
  <c r="BH176" i="5"/>
  <c r="BI176" i="5"/>
  <c r="BJ176" i="5"/>
  <c r="BK176" i="5"/>
  <c r="BL176" i="5"/>
  <c r="BM176" i="5"/>
  <c r="BN176" i="5"/>
  <c r="BO176" i="5"/>
  <c r="BR176" i="5"/>
  <c r="BE177" i="5"/>
  <c r="BF177" i="5"/>
  <c r="BG177" i="5"/>
  <c r="BH177" i="5"/>
  <c r="BI177" i="5"/>
  <c r="BJ177" i="5"/>
  <c r="BK177" i="5"/>
  <c r="BL177" i="5"/>
  <c r="BM177" i="5"/>
  <c r="BN177" i="5"/>
  <c r="BO177" i="5"/>
  <c r="BR177" i="5"/>
  <c r="BE178" i="5"/>
  <c r="BF178" i="5"/>
  <c r="BG178" i="5"/>
  <c r="BH178" i="5"/>
  <c r="BI178" i="5"/>
  <c r="BJ178" i="5"/>
  <c r="BK178" i="5"/>
  <c r="BL178" i="5"/>
  <c r="BM178" i="5"/>
  <c r="BN178" i="5"/>
  <c r="BO178" i="5"/>
  <c r="BR178" i="5"/>
  <c r="BE179" i="5"/>
  <c r="BF179" i="5"/>
  <c r="BG179" i="5"/>
  <c r="BH179" i="5"/>
  <c r="BI179" i="5"/>
  <c r="BJ179" i="5"/>
  <c r="BK179" i="5"/>
  <c r="BL179" i="5"/>
  <c r="BM179" i="5"/>
  <c r="BN179" i="5"/>
  <c r="BO179" i="5"/>
  <c r="BR179" i="5"/>
  <c r="BE180" i="5"/>
  <c r="BF180" i="5"/>
  <c r="BG180" i="5"/>
  <c r="BH180" i="5"/>
  <c r="BI180" i="5"/>
  <c r="BJ180" i="5"/>
  <c r="BK180" i="5"/>
  <c r="BL180" i="5"/>
  <c r="BM180" i="5"/>
  <c r="BN180" i="5"/>
  <c r="BO180" i="5"/>
  <c r="BR180" i="5"/>
  <c r="BE181" i="5"/>
  <c r="BF181" i="5"/>
  <c r="BG181" i="5"/>
  <c r="BH181" i="5"/>
  <c r="BI181" i="5"/>
  <c r="BJ181" i="5"/>
  <c r="BK181" i="5"/>
  <c r="BL181" i="5"/>
  <c r="BM181" i="5"/>
  <c r="BN181" i="5"/>
  <c r="BO181" i="5"/>
  <c r="BR181" i="5"/>
  <c r="BE182" i="5"/>
  <c r="BD182" i="5" s="1"/>
  <c r="BC182" i="5" s="1"/>
  <c r="BF182" i="5"/>
  <c r="BG182" i="5"/>
  <c r="BH182" i="5"/>
  <c r="BI182" i="5"/>
  <c r="BJ182" i="5"/>
  <c r="BK182" i="5"/>
  <c r="BL182" i="5"/>
  <c r="BM182" i="5"/>
  <c r="BN182" i="5"/>
  <c r="BO182" i="5"/>
  <c r="BR182" i="5"/>
  <c r="BE183" i="5"/>
  <c r="BD183" i="5" s="1"/>
  <c r="BF183" i="5"/>
  <c r="BG183" i="5"/>
  <c r="BH183" i="5"/>
  <c r="BI183" i="5"/>
  <c r="BJ183" i="5"/>
  <c r="BK183" i="5"/>
  <c r="BL183" i="5"/>
  <c r="BM183" i="5"/>
  <c r="BN183" i="5"/>
  <c r="BO183" i="5"/>
  <c r="BR183" i="5"/>
  <c r="BE184" i="5"/>
  <c r="BF184" i="5"/>
  <c r="BG184" i="5"/>
  <c r="BH184" i="5"/>
  <c r="BI184" i="5"/>
  <c r="BJ184" i="5"/>
  <c r="BK184" i="5"/>
  <c r="BL184" i="5"/>
  <c r="BM184" i="5"/>
  <c r="BN184" i="5"/>
  <c r="BO184" i="5"/>
  <c r="BR184" i="5"/>
  <c r="BE185" i="5"/>
  <c r="BD185" i="5" s="1"/>
  <c r="BC185" i="5" s="1"/>
  <c r="BF185" i="5"/>
  <c r="BG185" i="5"/>
  <c r="BH185" i="5"/>
  <c r="BI185" i="5"/>
  <c r="BJ185" i="5"/>
  <c r="BK185" i="5"/>
  <c r="BL185" i="5"/>
  <c r="BM185" i="5"/>
  <c r="BN185" i="5"/>
  <c r="BO185" i="5"/>
  <c r="BR185" i="5"/>
  <c r="BE186" i="5"/>
  <c r="BD186" i="5" s="1"/>
  <c r="BC186" i="5" s="1"/>
  <c r="BF186" i="5"/>
  <c r="BG186" i="5"/>
  <c r="BH186" i="5"/>
  <c r="BI186" i="5"/>
  <c r="BJ186" i="5"/>
  <c r="BK186" i="5"/>
  <c r="BL186" i="5"/>
  <c r="BM186" i="5"/>
  <c r="BN186" i="5"/>
  <c r="BO186" i="5"/>
  <c r="BR186" i="5"/>
  <c r="BE187" i="5"/>
  <c r="BD187" i="5" s="1"/>
  <c r="BC187" i="5" s="1"/>
  <c r="BF187" i="5"/>
  <c r="BG187" i="5"/>
  <c r="BH187" i="5"/>
  <c r="BI187" i="5"/>
  <c r="BJ187" i="5"/>
  <c r="BK187" i="5"/>
  <c r="BL187" i="5"/>
  <c r="BM187" i="5"/>
  <c r="BN187" i="5"/>
  <c r="BO187" i="5"/>
  <c r="BR187" i="5"/>
  <c r="BE188" i="5"/>
  <c r="BD188" i="5" s="1"/>
  <c r="BC188" i="5" s="1"/>
  <c r="BF188" i="5"/>
  <c r="BG188" i="5"/>
  <c r="BH188" i="5"/>
  <c r="BI188" i="5"/>
  <c r="BJ188" i="5"/>
  <c r="BK188" i="5"/>
  <c r="BL188" i="5"/>
  <c r="BM188" i="5"/>
  <c r="BN188" i="5"/>
  <c r="BO188" i="5"/>
  <c r="BR188" i="5"/>
  <c r="BE189" i="5"/>
  <c r="BD189" i="5" s="1"/>
  <c r="BC189" i="5" s="1"/>
  <c r="BF189" i="5"/>
  <c r="BG189" i="5"/>
  <c r="BH189" i="5"/>
  <c r="BI189" i="5"/>
  <c r="BJ189" i="5"/>
  <c r="BK189" i="5"/>
  <c r="BL189" i="5"/>
  <c r="BM189" i="5"/>
  <c r="BN189" i="5"/>
  <c r="BO189" i="5"/>
  <c r="BR189" i="5"/>
  <c r="BE190" i="5"/>
  <c r="BD190" i="5" s="1"/>
  <c r="BC190" i="5" s="1"/>
  <c r="BF190" i="5"/>
  <c r="BG190" i="5"/>
  <c r="BH190" i="5"/>
  <c r="BI190" i="5"/>
  <c r="BJ190" i="5"/>
  <c r="BK190" i="5"/>
  <c r="BL190" i="5"/>
  <c r="BM190" i="5"/>
  <c r="BN190" i="5"/>
  <c r="BO190" i="5"/>
  <c r="BR190" i="5"/>
  <c r="BE191" i="5"/>
  <c r="BD191" i="5" s="1"/>
  <c r="BF191" i="5"/>
  <c r="BG191" i="5"/>
  <c r="BH191" i="5"/>
  <c r="BI191" i="5"/>
  <c r="BJ191" i="5"/>
  <c r="BK191" i="5"/>
  <c r="BL191" i="5"/>
  <c r="BM191" i="5"/>
  <c r="BN191" i="5"/>
  <c r="BO191" i="5"/>
  <c r="BR191" i="5"/>
  <c r="BE192" i="5"/>
  <c r="BF192" i="5"/>
  <c r="BG192" i="5"/>
  <c r="BH192" i="5"/>
  <c r="BI192" i="5"/>
  <c r="BJ192" i="5"/>
  <c r="BK192" i="5"/>
  <c r="BL192" i="5"/>
  <c r="BM192" i="5"/>
  <c r="BN192" i="5"/>
  <c r="BO192" i="5"/>
  <c r="BR192" i="5"/>
  <c r="BE193" i="5"/>
  <c r="BF193" i="5"/>
  <c r="BG193" i="5"/>
  <c r="BH193" i="5"/>
  <c r="BI193" i="5"/>
  <c r="BJ193" i="5"/>
  <c r="BK193" i="5"/>
  <c r="BL193" i="5"/>
  <c r="BM193" i="5"/>
  <c r="BN193" i="5"/>
  <c r="BO193" i="5"/>
  <c r="BR193" i="5"/>
  <c r="BF25" i="2"/>
  <c r="BG25" i="2"/>
  <c r="BH25" i="2"/>
  <c r="BI25" i="2"/>
  <c r="BJ25" i="2"/>
  <c r="BK25" i="2"/>
  <c r="BL25" i="2"/>
  <c r="BM25" i="2"/>
  <c r="BN25" i="2"/>
  <c r="BO25" i="2"/>
  <c r="BP25" i="2"/>
  <c r="BQ25" i="2"/>
  <c r="BR25" i="2"/>
  <c r="BF26" i="2"/>
  <c r="BG26" i="2"/>
  <c r="BH26" i="2"/>
  <c r="BI26" i="2"/>
  <c r="BJ26" i="2"/>
  <c r="BK26" i="2"/>
  <c r="BR26" i="2" s="1"/>
  <c r="BL26" i="2"/>
  <c r="BM26" i="2"/>
  <c r="BN26" i="2"/>
  <c r="BO26" i="2"/>
  <c r="BP26" i="2"/>
  <c r="BF27" i="2"/>
  <c r="BG27" i="2"/>
  <c r="BH27" i="2"/>
  <c r="BQ27" i="2" s="1"/>
  <c r="BI27" i="2"/>
  <c r="BJ27" i="2"/>
  <c r="BK27" i="2"/>
  <c r="BL27" i="2"/>
  <c r="BM27" i="2"/>
  <c r="BN27" i="2"/>
  <c r="BO27" i="2"/>
  <c r="BP27" i="2"/>
  <c r="BR27" i="2"/>
  <c r="BF28" i="2"/>
  <c r="BG28" i="2"/>
  <c r="BH28" i="2"/>
  <c r="BI28" i="2"/>
  <c r="BJ28" i="2"/>
  <c r="BK28" i="2"/>
  <c r="BL28" i="2"/>
  <c r="BM28" i="2"/>
  <c r="BN28" i="2"/>
  <c r="BO28" i="2"/>
  <c r="BP28" i="2"/>
  <c r="BQ28" i="2"/>
  <c r="BR28" i="2"/>
  <c r="BF29" i="2"/>
  <c r="BG29" i="2"/>
  <c r="BH29" i="2"/>
  <c r="BQ29" i="2" s="1"/>
  <c r="BI29" i="2"/>
  <c r="BJ29" i="2"/>
  <c r="BK29" i="2"/>
  <c r="BL29" i="2"/>
  <c r="BM29" i="2"/>
  <c r="BN29" i="2"/>
  <c r="BO29" i="2"/>
  <c r="BP29" i="2"/>
  <c r="BR29" i="2"/>
  <c r="BF30" i="2"/>
  <c r="BG30" i="2"/>
  <c r="BH30" i="2"/>
  <c r="BQ30" i="2" s="1"/>
  <c r="BI30" i="2"/>
  <c r="BJ30" i="2"/>
  <c r="BK30" i="2"/>
  <c r="BL30" i="2"/>
  <c r="BM30" i="2"/>
  <c r="BN30" i="2"/>
  <c r="BO30" i="2"/>
  <c r="BP30" i="2"/>
  <c r="BF31" i="2"/>
  <c r="BG31" i="2"/>
  <c r="BH31" i="2"/>
  <c r="BQ31" i="2" s="1"/>
  <c r="BI31" i="2"/>
  <c r="BJ31" i="2"/>
  <c r="BK31" i="2"/>
  <c r="BR31" i="2" s="1"/>
  <c r="BL31" i="2"/>
  <c r="BM31" i="2"/>
  <c r="BN31" i="2"/>
  <c r="BO31" i="2"/>
  <c r="BP31" i="2"/>
  <c r="BF32" i="2"/>
  <c r="BG32" i="2"/>
  <c r="BH32" i="2"/>
  <c r="BI32" i="2"/>
  <c r="BJ32" i="2"/>
  <c r="BK32" i="2"/>
  <c r="BL32" i="2"/>
  <c r="BM32" i="2"/>
  <c r="BN32" i="2"/>
  <c r="BO32" i="2"/>
  <c r="BP32" i="2"/>
  <c r="BQ32" i="2"/>
  <c r="BR32" i="2"/>
  <c r="BF33" i="2"/>
  <c r="BG33" i="2"/>
  <c r="BH33" i="2"/>
  <c r="BI33" i="2"/>
  <c r="BJ33" i="2"/>
  <c r="BK33" i="2"/>
  <c r="BL33" i="2"/>
  <c r="BM33" i="2"/>
  <c r="BN33" i="2"/>
  <c r="BO33" i="2"/>
  <c r="BP33" i="2"/>
  <c r="BQ33" i="2"/>
  <c r="BF34" i="2"/>
  <c r="BG34" i="2"/>
  <c r="BH34" i="2"/>
  <c r="BQ34" i="2" s="1"/>
  <c r="BI34" i="2"/>
  <c r="BJ34" i="2"/>
  <c r="BK34" i="2"/>
  <c r="BL34" i="2"/>
  <c r="BM34" i="2"/>
  <c r="BN34" i="2"/>
  <c r="BO34" i="2"/>
  <c r="BP34" i="2"/>
  <c r="BF35" i="2"/>
  <c r="BG35" i="2"/>
  <c r="BH35" i="2"/>
  <c r="BQ35" i="2" s="1"/>
  <c r="BP36" i="5" s="1"/>
  <c r="BI35" i="2"/>
  <c r="BJ35" i="2"/>
  <c r="BK35" i="2"/>
  <c r="BL35" i="2"/>
  <c r="BM35" i="2"/>
  <c r="BN35" i="2"/>
  <c r="BO35" i="2"/>
  <c r="BP35" i="2"/>
  <c r="BF36" i="2"/>
  <c r="BG36" i="2"/>
  <c r="BH36" i="2"/>
  <c r="BI36" i="2"/>
  <c r="BJ36" i="2"/>
  <c r="BK36" i="2"/>
  <c r="BL36" i="2"/>
  <c r="BM36" i="2"/>
  <c r="BN36" i="2"/>
  <c r="BO36" i="2"/>
  <c r="BP36" i="2"/>
  <c r="BQ36" i="2"/>
  <c r="BP37" i="5" s="1"/>
  <c r="BQ37" i="5"/>
  <c r="BF37" i="2"/>
  <c r="BG37" i="2"/>
  <c r="BH37" i="2"/>
  <c r="BI37" i="2"/>
  <c r="BJ37" i="2"/>
  <c r="BK37" i="2"/>
  <c r="BL37" i="2"/>
  <c r="BM37" i="2"/>
  <c r="BN37" i="2"/>
  <c r="BO37" i="2"/>
  <c r="BP37" i="2"/>
  <c r="BQ37" i="2"/>
  <c r="BP38" i="5" s="1"/>
  <c r="BR37" i="2"/>
  <c r="BQ38" i="5" s="1"/>
  <c r="BF38" i="2"/>
  <c r="BG38" i="2"/>
  <c r="BH38" i="2"/>
  <c r="BQ38" i="2" s="1"/>
  <c r="BP39" i="5" s="1"/>
  <c r="BI38" i="2"/>
  <c r="BJ38" i="2"/>
  <c r="BK38" i="2"/>
  <c r="BR38" i="2" s="1"/>
  <c r="BQ39" i="5" s="1"/>
  <c r="BL38" i="2"/>
  <c r="BM38" i="2"/>
  <c r="BN38" i="2"/>
  <c r="BO38" i="2"/>
  <c r="BP38" i="2"/>
  <c r="BF39" i="2"/>
  <c r="BG39" i="2"/>
  <c r="BH39" i="2"/>
  <c r="BQ39" i="2" s="1"/>
  <c r="BP40" i="5" s="1"/>
  <c r="BI39" i="2"/>
  <c r="BJ39" i="2"/>
  <c r="BK39" i="2"/>
  <c r="BL39" i="2"/>
  <c r="BM39" i="2"/>
  <c r="BN39" i="2"/>
  <c r="BO39" i="2"/>
  <c r="BP39" i="2"/>
  <c r="BR39" i="2"/>
  <c r="BQ40" i="5" s="1"/>
  <c r="BF40" i="2"/>
  <c r="BG40" i="2"/>
  <c r="BH40" i="2"/>
  <c r="BI40" i="2"/>
  <c r="BJ40" i="2"/>
  <c r="BK40" i="2"/>
  <c r="BL40" i="2"/>
  <c r="BM40" i="2"/>
  <c r="BN40" i="2"/>
  <c r="BO40" i="2"/>
  <c r="BP40" i="2"/>
  <c r="BQ40" i="2"/>
  <c r="BP41" i="5" s="1"/>
  <c r="BR40" i="2"/>
  <c r="BQ41" i="5" s="1"/>
  <c r="BF41" i="2"/>
  <c r="BG41" i="2"/>
  <c r="BH41" i="2"/>
  <c r="BI41" i="2"/>
  <c r="BJ41" i="2"/>
  <c r="BK41" i="2"/>
  <c r="BL41" i="2"/>
  <c r="BM41" i="2"/>
  <c r="BN41" i="2"/>
  <c r="BO41" i="2"/>
  <c r="BP41" i="2"/>
  <c r="BQ41" i="2"/>
  <c r="BP42" i="5" s="1"/>
  <c r="BR41" i="2"/>
  <c r="BQ42" i="5" s="1"/>
  <c r="BF42" i="2"/>
  <c r="BG42" i="2"/>
  <c r="BH42" i="2"/>
  <c r="BI42" i="2"/>
  <c r="BJ42" i="2"/>
  <c r="BK42" i="2"/>
  <c r="BR42" i="2" s="1"/>
  <c r="BQ43" i="5" s="1"/>
  <c r="BL42" i="2"/>
  <c r="BM42" i="2"/>
  <c r="BN42" i="2"/>
  <c r="BO42" i="2"/>
  <c r="BP42" i="2"/>
  <c r="BF43" i="2"/>
  <c r="BG43" i="2"/>
  <c r="BH43" i="2"/>
  <c r="BQ43" i="2" s="1"/>
  <c r="BP44" i="5" s="1"/>
  <c r="BI43" i="2"/>
  <c r="BJ43" i="2"/>
  <c r="BK43" i="2"/>
  <c r="BL43" i="2"/>
  <c r="BM43" i="2"/>
  <c r="BN43" i="2"/>
  <c r="BO43" i="2"/>
  <c r="BP43" i="2"/>
  <c r="BR43" i="2"/>
  <c r="BQ44" i="5" s="1"/>
  <c r="BF44" i="2"/>
  <c r="BG44" i="2"/>
  <c r="BH44" i="2"/>
  <c r="BI44" i="2"/>
  <c r="BJ44" i="2"/>
  <c r="BK44" i="2"/>
  <c r="BL44" i="2"/>
  <c r="BM44" i="2"/>
  <c r="BN44" i="2"/>
  <c r="BO44" i="2"/>
  <c r="BP44" i="2"/>
  <c r="BQ44" i="2"/>
  <c r="BP45" i="5" s="1"/>
  <c r="BR44" i="2"/>
  <c r="BQ45" i="5" s="1"/>
  <c r="BF45" i="2"/>
  <c r="BG45" i="2"/>
  <c r="BH45" i="2"/>
  <c r="BI45" i="2"/>
  <c r="BJ45" i="2"/>
  <c r="BK45" i="2"/>
  <c r="BL45" i="2"/>
  <c r="BM45" i="2"/>
  <c r="BN45" i="2"/>
  <c r="BO45" i="2"/>
  <c r="BP45" i="2"/>
  <c r="BR45" i="2"/>
  <c r="BQ46" i="5" s="1"/>
  <c r="BF46" i="2"/>
  <c r="BG46" i="2"/>
  <c r="BH46" i="2"/>
  <c r="BQ46" i="2" s="1"/>
  <c r="BP47" i="5" s="1"/>
  <c r="BI46" i="2"/>
  <c r="BJ46" i="2"/>
  <c r="BK46" i="2"/>
  <c r="BL46" i="2"/>
  <c r="BM46" i="2"/>
  <c r="BN46" i="2"/>
  <c r="BO46" i="2"/>
  <c r="BP46" i="2"/>
  <c r="BF47" i="2"/>
  <c r="BG47" i="2"/>
  <c r="BH47" i="2"/>
  <c r="BI47" i="2"/>
  <c r="BJ47" i="2"/>
  <c r="BK47" i="2"/>
  <c r="BL47" i="2"/>
  <c r="BM47" i="2"/>
  <c r="BN47" i="2"/>
  <c r="BO47" i="2"/>
  <c r="BP47" i="2"/>
  <c r="BQ47" i="2"/>
  <c r="BP48" i="5" s="1"/>
  <c r="BF48" i="2"/>
  <c r="BG48" i="2"/>
  <c r="BH48" i="2"/>
  <c r="BI48" i="2"/>
  <c r="BJ48" i="2"/>
  <c r="BK48" i="2"/>
  <c r="BL48" i="2"/>
  <c r="BM48" i="2"/>
  <c r="BN48" i="2"/>
  <c r="BO48" i="2"/>
  <c r="BP48" i="2"/>
  <c r="BQ48" i="2"/>
  <c r="BP49" i="5" s="1"/>
  <c r="BR48" i="2"/>
  <c r="BQ49" i="5" s="1"/>
  <c r="BF49" i="2"/>
  <c r="BG49" i="2"/>
  <c r="BH49" i="2"/>
  <c r="BI49" i="2"/>
  <c r="BJ49" i="2"/>
  <c r="BK49" i="2"/>
  <c r="BR49" i="2" s="1"/>
  <c r="BQ50" i="5" s="1"/>
  <c r="BL49" i="2"/>
  <c r="BM49" i="2"/>
  <c r="BN49" i="2"/>
  <c r="BO49" i="2"/>
  <c r="BP49" i="2"/>
  <c r="BQ49" i="2"/>
  <c r="BP50" i="5" s="1"/>
  <c r="BF50" i="2"/>
  <c r="BG50" i="2"/>
  <c r="BH50" i="2"/>
  <c r="BQ50" i="2" s="1"/>
  <c r="BP51" i="5" s="1"/>
  <c r="BI50" i="2"/>
  <c r="BJ50" i="2"/>
  <c r="BK50" i="2"/>
  <c r="BR50" i="2" s="1"/>
  <c r="BQ51" i="5" s="1"/>
  <c r="BL50" i="2"/>
  <c r="BM50" i="2"/>
  <c r="BN50" i="2"/>
  <c r="BO50" i="2"/>
  <c r="BP50" i="2"/>
  <c r="BF51" i="2"/>
  <c r="BG51" i="2"/>
  <c r="BH51" i="2"/>
  <c r="BI51" i="2"/>
  <c r="BJ51" i="2"/>
  <c r="BK51" i="2"/>
  <c r="BL51" i="2"/>
  <c r="BM51" i="2"/>
  <c r="BN51" i="2"/>
  <c r="BO51" i="2"/>
  <c r="BP51" i="2"/>
  <c r="BQ51" i="2"/>
  <c r="BP52" i="5" s="1"/>
  <c r="BF52" i="2"/>
  <c r="BG52" i="2"/>
  <c r="BH52" i="2"/>
  <c r="BI52" i="2"/>
  <c r="BJ52" i="2"/>
  <c r="BK52" i="2"/>
  <c r="BL52" i="2"/>
  <c r="BM52" i="2"/>
  <c r="BN52" i="2"/>
  <c r="BO52" i="2"/>
  <c r="BP52" i="2"/>
  <c r="BQ52" i="2"/>
  <c r="BP53" i="5" s="1"/>
  <c r="BR52" i="2"/>
  <c r="BQ53" i="5" s="1"/>
  <c r="BF53" i="2"/>
  <c r="BG53" i="2"/>
  <c r="BH53" i="2"/>
  <c r="BI53" i="2"/>
  <c r="BJ53" i="2"/>
  <c r="BK53" i="2"/>
  <c r="BR53" i="2" s="1"/>
  <c r="BQ54" i="5" s="1"/>
  <c r="BL53" i="2"/>
  <c r="BM53" i="2"/>
  <c r="BN53" i="2"/>
  <c r="BO53" i="2"/>
  <c r="BP53" i="2"/>
  <c r="BQ53" i="2"/>
  <c r="BP54" i="5" s="1"/>
  <c r="BF54" i="2"/>
  <c r="BG54" i="2"/>
  <c r="BH54" i="2"/>
  <c r="BQ54" i="2" s="1"/>
  <c r="BP55" i="5" s="1"/>
  <c r="BI54" i="2"/>
  <c r="BJ54" i="2"/>
  <c r="BK54" i="2"/>
  <c r="BR54" i="2" s="1"/>
  <c r="BQ55" i="5" s="1"/>
  <c r="BL54" i="2"/>
  <c r="BM54" i="2"/>
  <c r="BN54" i="2"/>
  <c r="BO54" i="2"/>
  <c r="BP54" i="2"/>
  <c r="BF55" i="2"/>
  <c r="BG55" i="2"/>
  <c r="BH55" i="2"/>
  <c r="BI55" i="2"/>
  <c r="BJ55" i="2"/>
  <c r="BK55" i="2"/>
  <c r="BL55" i="2"/>
  <c r="BM55" i="2"/>
  <c r="BN55" i="2"/>
  <c r="BO55" i="2"/>
  <c r="BP55" i="2"/>
  <c r="BQ55" i="2"/>
  <c r="BP56" i="5" s="1"/>
  <c r="BR55" i="2"/>
  <c r="BQ56" i="5" s="1"/>
  <c r="BF56" i="2"/>
  <c r="BG56" i="2"/>
  <c r="BH56" i="2"/>
  <c r="BI56" i="2"/>
  <c r="BJ56" i="2"/>
  <c r="BK56" i="2"/>
  <c r="BL56" i="2"/>
  <c r="BM56" i="2"/>
  <c r="BN56" i="2"/>
  <c r="BO56" i="2"/>
  <c r="BP56" i="2"/>
  <c r="BQ56" i="2"/>
  <c r="BP57" i="5" s="1"/>
  <c r="BR56" i="2"/>
  <c r="BQ57" i="5" s="1"/>
  <c r="BF57" i="2"/>
  <c r="BG57" i="2"/>
  <c r="BH57" i="2"/>
  <c r="BI57" i="2"/>
  <c r="BJ57" i="2"/>
  <c r="BK57" i="2"/>
  <c r="BR57" i="2" s="1"/>
  <c r="BQ58" i="5" s="1"/>
  <c r="BL57" i="2"/>
  <c r="BM57" i="2"/>
  <c r="BN57" i="2"/>
  <c r="BO57" i="2"/>
  <c r="BP57" i="2"/>
  <c r="BF58" i="2"/>
  <c r="BG58" i="2"/>
  <c r="BH58" i="2"/>
  <c r="BI58" i="2"/>
  <c r="BJ58" i="2"/>
  <c r="BK58" i="2"/>
  <c r="BR58" i="2" s="1"/>
  <c r="BQ59" i="5" s="1"/>
  <c r="BL58" i="2"/>
  <c r="BM58" i="2"/>
  <c r="BN58" i="2"/>
  <c r="BO58" i="2"/>
  <c r="BP58" i="2"/>
  <c r="BF59" i="2"/>
  <c r="BG59" i="2"/>
  <c r="BH59" i="2"/>
  <c r="BI59" i="2"/>
  <c r="BJ59" i="2"/>
  <c r="BK59" i="2"/>
  <c r="BR59" i="2" s="1"/>
  <c r="BQ60" i="5" s="1"/>
  <c r="BL59" i="2"/>
  <c r="BM59" i="2"/>
  <c r="BN59" i="2"/>
  <c r="BO59" i="2"/>
  <c r="BP59" i="2"/>
  <c r="BQ59" i="2"/>
  <c r="BP60" i="5" s="1"/>
  <c r="BF60" i="2"/>
  <c r="BG60" i="2"/>
  <c r="BH60" i="2"/>
  <c r="BI60" i="2"/>
  <c r="BJ60" i="2"/>
  <c r="BK60" i="2"/>
  <c r="BL60" i="2"/>
  <c r="BM60" i="2"/>
  <c r="BN60" i="2"/>
  <c r="BO60" i="2"/>
  <c r="BP60" i="2"/>
  <c r="BQ60" i="2"/>
  <c r="BP61" i="5" s="1"/>
  <c r="BR60" i="2"/>
  <c r="BQ61" i="5" s="1"/>
  <c r="BF61" i="2"/>
  <c r="BG61" i="2"/>
  <c r="BH61" i="2"/>
  <c r="BI61" i="2"/>
  <c r="BJ61" i="2"/>
  <c r="BK61" i="2"/>
  <c r="BR61" i="2" s="1"/>
  <c r="BQ62" i="5" s="1"/>
  <c r="BL61" i="2"/>
  <c r="BM61" i="2"/>
  <c r="BN61" i="2"/>
  <c r="BO61" i="2"/>
  <c r="BP61" i="2"/>
  <c r="BQ61" i="2"/>
  <c r="BP62" i="5" s="1"/>
  <c r="BF62" i="2"/>
  <c r="BG62" i="2"/>
  <c r="BH62" i="2"/>
  <c r="BQ62" i="2" s="1"/>
  <c r="BP63" i="5" s="1"/>
  <c r="BI62" i="2"/>
  <c r="BJ62" i="2"/>
  <c r="BK62" i="2"/>
  <c r="BJ63" i="5" s="1"/>
  <c r="BL62" i="2"/>
  <c r="BM62" i="2"/>
  <c r="BN62" i="2"/>
  <c r="BO62" i="2"/>
  <c r="BN63" i="5" s="1"/>
  <c r="BF63" i="2"/>
  <c r="BG63" i="2"/>
  <c r="BH63" i="2"/>
  <c r="BI63" i="2"/>
  <c r="BJ63" i="2"/>
  <c r="BK63" i="2"/>
  <c r="BL63" i="2"/>
  <c r="BM63" i="2"/>
  <c r="BN63" i="2"/>
  <c r="BO63" i="2"/>
  <c r="BN64" i="5" s="1"/>
  <c r="BQ63" i="2"/>
  <c r="BP64" i="5" s="1"/>
  <c r="BF64" i="2"/>
  <c r="BG64" i="2"/>
  <c r="BH64" i="2"/>
  <c r="BI64" i="2"/>
  <c r="BJ64" i="2"/>
  <c r="BK64" i="2"/>
  <c r="BL64" i="2"/>
  <c r="BM64" i="2"/>
  <c r="BN64" i="2"/>
  <c r="BO64" i="2"/>
  <c r="BP64" i="2"/>
  <c r="BQ64" i="2"/>
  <c r="BP65" i="5" s="1"/>
  <c r="BR64" i="2"/>
  <c r="BQ65" i="5" s="1"/>
  <c r="BF65" i="2"/>
  <c r="BG65" i="2"/>
  <c r="BH65" i="2"/>
  <c r="BI65" i="2"/>
  <c r="BJ65" i="2"/>
  <c r="BK65" i="2"/>
  <c r="BR65" i="2" s="1"/>
  <c r="BQ66" i="5" s="1"/>
  <c r="BL65" i="2"/>
  <c r="BM65" i="2"/>
  <c r="BN65" i="2"/>
  <c r="BO65" i="2"/>
  <c r="BP65" i="2"/>
  <c r="BQ65" i="2"/>
  <c r="BP66" i="5" s="1"/>
  <c r="BF66" i="2"/>
  <c r="BG66" i="2"/>
  <c r="BH66" i="2"/>
  <c r="BQ66" i="2" s="1"/>
  <c r="BP67" i="5" s="1"/>
  <c r="BI66" i="2"/>
  <c r="BJ66" i="2"/>
  <c r="BK66" i="2"/>
  <c r="BR66" i="2" s="1"/>
  <c r="BQ67" i="5" s="1"/>
  <c r="BL66" i="2"/>
  <c r="BM66" i="2"/>
  <c r="BN66" i="2"/>
  <c r="BO66" i="2"/>
  <c r="BP66" i="2"/>
  <c r="BF67" i="2"/>
  <c r="BG67" i="2"/>
  <c r="BH67" i="2"/>
  <c r="BI67" i="2"/>
  <c r="BJ67" i="2"/>
  <c r="BK67" i="2"/>
  <c r="BL67" i="2"/>
  <c r="BM67" i="2"/>
  <c r="BN67" i="2"/>
  <c r="BO67" i="2"/>
  <c r="BP67" i="2"/>
  <c r="BQ67" i="2"/>
  <c r="BP68" i="5" s="1"/>
  <c r="BF68" i="2"/>
  <c r="BG68" i="2"/>
  <c r="BH68" i="2"/>
  <c r="BI68" i="2"/>
  <c r="BJ68" i="2"/>
  <c r="BK68" i="2"/>
  <c r="BL68" i="2"/>
  <c r="BM68" i="2"/>
  <c r="BN68" i="2"/>
  <c r="BO68" i="2"/>
  <c r="BP68" i="2"/>
  <c r="BQ68" i="2"/>
  <c r="BP69" i="5" s="1"/>
  <c r="BR68" i="2"/>
  <c r="BQ69" i="5" s="1"/>
  <c r="BF69" i="2"/>
  <c r="BG69" i="2"/>
  <c r="BH69" i="2"/>
  <c r="BI69" i="2"/>
  <c r="BJ69" i="2"/>
  <c r="BK69" i="2"/>
  <c r="BR69" i="2" s="1"/>
  <c r="BQ70" i="5" s="1"/>
  <c r="BL69" i="2"/>
  <c r="BM69" i="2"/>
  <c r="BN69" i="2"/>
  <c r="BO69" i="2"/>
  <c r="BP69" i="2"/>
  <c r="BQ69" i="2"/>
  <c r="BP70" i="5" s="1"/>
  <c r="BF70" i="2"/>
  <c r="BG70" i="2"/>
  <c r="BH70" i="2"/>
  <c r="BQ70" i="2" s="1"/>
  <c r="BP71" i="5" s="1"/>
  <c r="BI70" i="2"/>
  <c r="BJ70" i="2"/>
  <c r="BK70" i="2"/>
  <c r="BR70" i="2" s="1"/>
  <c r="BQ71" i="5" s="1"/>
  <c r="BL70" i="2"/>
  <c r="BM70" i="2"/>
  <c r="BN70" i="2"/>
  <c r="BO70" i="2"/>
  <c r="BP70" i="2"/>
  <c r="BF71" i="2"/>
  <c r="BG71" i="2"/>
  <c r="BH71" i="2"/>
  <c r="BI71" i="2"/>
  <c r="BJ71" i="2"/>
  <c r="BK71" i="2"/>
  <c r="BL71" i="2"/>
  <c r="BM71" i="2"/>
  <c r="BN71" i="2"/>
  <c r="BO71" i="2"/>
  <c r="BP71" i="2"/>
  <c r="BQ71" i="2"/>
  <c r="BP72" i="5" s="1"/>
  <c r="BR71" i="2"/>
  <c r="BQ72" i="5" s="1"/>
  <c r="BF72" i="2"/>
  <c r="BG72" i="2"/>
  <c r="BH72" i="2"/>
  <c r="BI72" i="2"/>
  <c r="BJ72" i="2"/>
  <c r="BK72" i="2"/>
  <c r="BL72" i="2"/>
  <c r="BM72" i="2"/>
  <c r="BN72" i="2"/>
  <c r="BO72" i="2"/>
  <c r="BP72" i="2"/>
  <c r="BQ72" i="2"/>
  <c r="BP73" i="5" s="1"/>
  <c r="BR72" i="2"/>
  <c r="BQ73" i="5" s="1"/>
  <c r="BF73" i="2"/>
  <c r="BG73" i="2"/>
  <c r="BH73" i="2"/>
  <c r="BI73" i="2"/>
  <c r="BJ73" i="2"/>
  <c r="BK73" i="2"/>
  <c r="BR73" i="2" s="1"/>
  <c r="BQ74" i="5" s="1"/>
  <c r="BL73" i="2"/>
  <c r="BM73" i="2"/>
  <c r="BN73" i="2"/>
  <c r="BO73" i="2"/>
  <c r="BP73" i="2"/>
  <c r="BF74" i="2"/>
  <c r="BG74" i="2"/>
  <c r="BH74" i="2"/>
  <c r="BI74" i="2"/>
  <c r="BJ74" i="2"/>
  <c r="BK74" i="2"/>
  <c r="BR74" i="2" s="1"/>
  <c r="BQ75" i="5" s="1"/>
  <c r="BL74" i="2"/>
  <c r="BM74" i="2"/>
  <c r="BN74" i="2"/>
  <c r="BO74" i="2"/>
  <c r="BP74" i="2"/>
  <c r="BF75" i="2"/>
  <c r="BG75" i="2"/>
  <c r="BH75" i="2"/>
  <c r="BI75" i="2"/>
  <c r="BJ75" i="2"/>
  <c r="BK75" i="2"/>
  <c r="BR75" i="2" s="1"/>
  <c r="BQ76" i="5" s="1"/>
  <c r="BL75" i="2"/>
  <c r="BM75" i="2"/>
  <c r="BN75" i="2"/>
  <c r="BO75" i="2"/>
  <c r="BP75" i="2"/>
  <c r="BQ75" i="2"/>
  <c r="BP76" i="5" s="1"/>
  <c r="BF76" i="2"/>
  <c r="BG76" i="2"/>
  <c r="BH76" i="2"/>
  <c r="BI76" i="2"/>
  <c r="BJ76" i="2"/>
  <c r="BK76" i="2"/>
  <c r="BL76" i="2"/>
  <c r="BM76" i="2"/>
  <c r="BN76" i="2"/>
  <c r="BO76" i="2"/>
  <c r="BP76" i="2"/>
  <c r="BQ76" i="2"/>
  <c r="BP77" i="5" s="1"/>
  <c r="BR76" i="2"/>
  <c r="BQ77" i="5" s="1"/>
  <c r="BF77" i="2"/>
  <c r="BG77" i="2"/>
  <c r="BH77" i="2"/>
  <c r="BI77" i="2"/>
  <c r="BJ77" i="2"/>
  <c r="BK77" i="2"/>
  <c r="BL77" i="2"/>
  <c r="BM77" i="2"/>
  <c r="BN77" i="2"/>
  <c r="BO77" i="2"/>
  <c r="BP77" i="2"/>
  <c r="BQ77" i="2"/>
  <c r="BP78" i="5" s="1"/>
  <c r="BR77" i="2"/>
  <c r="BQ78" i="5" s="1"/>
  <c r="BF78" i="2"/>
  <c r="BG78" i="2"/>
  <c r="BH78" i="2"/>
  <c r="BQ78" i="2" s="1"/>
  <c r="BP79" i="5" s="1"/>
  <c r="BI78" i="2"/>
  <c r="BJ78" i="2"/>
  <c r="BK78" i="2"/>
  <c r="BR78" i="2" s="1"/>
  <c r="BQ79" i="5" s="1"/>
  <c r="BL78" i="2"/>
  <c r="BM78" i="2"/>
  <c r="BN78" i="2"/>
  <c r="BO78" i="2"/>
  <c r="BP78" i="2"/>
  <c r="BF79" i="2"/>
  <c r="BG79" i="2"/>
  <c r="BH79" i="2"/>
  <c r="BI79" i="2"/>
  <c r="BJ79" i="2"/>
  <c r="BK79" i="2"/>
  <c r="BL79" i="2"/>
  <c r="BM79" i="2"/>
  <c r="BN79" i="2"/>
  <c r="BO79" i="2"/>
  <c r="BP79" i="2"/>
  <c r="BQ79" i="2"/>
  <c r="BP80" i="5" s="1"/>
  <c r="BF80" i="2"/>
  <c r="BG80" i="2"/>
  <c r="BH80" i="2"/>
  <c r="BI80" i="2"/>
  <c r="BJ80" i="2"/>
  <c r="BK80" i="2"/>
  <c r="BL80" i="2"/>
  <c r="BM80" i="2"/>
  <c r="BN80" i="2"/>
  <c r="BO80" i="2"/>
  <c r="BP80" i="2"/>
  <c r="BQ80" i="2"/>
  <c r="BP81" i="5" s="1"/>
  <c r="BR80" i="2"/>
  <c r="BQ81" i="5" s="1"/>
  <c r="BF81" i="2"/>
  <c r="BG81" i="2"/>
  <c r="BH81" i="2"/>
  <c r="BI81" i="2"/>
  <c r="BJ81" i="2"/>
  <c r="BK81" i="2"/>
  <c r="BL81" i="2"/>
  <c r="BM81" i="2"/>
  <c r="BN81" i="2"/>
  <c r="BO81" i="2"/>
  <c r="BP81" i="2"/>
  <c r="BQ81" i="2"/>
  <c r="BP82" i="5" s="1"/>
  <c r="BR81" i="2"/>
  <c r="BQ82" i="5" s="1"/>
  <c r="BF82" i="2"/>
  <c r="BG82" i="2"/>
  <c r="BH82" i="2"/>
  <c r="BI82" i="2"/>
  <c r="BJ82" i="2"/>
  <c r="BK82" i="2"/>
  <c r="BR82" i="2" s="1"/>
  <c r="BQ83" i="5" s="1"/>
  <c r="BL82" i="2"/>
  <c r="BM82" i="2"/>
  <c r="BN82" i="2"/>
  <c r="BO82" i="2"/>
  <c r="BP82" i="2"/>
  <c r="BF83" i="2"/>
  <c r="BG83" i="2"/>
  <c r="BH83" i="2"/>
  <c r="BI83" i="2"/>
  <c r="BJ83" i="2"/>
  <c r="BK83" i="2"/>
  <c r="BR83" i="2" s="1"/>
  <c r="BQ84" i="5" s="1"/>
  <c r="BL83" i="2"/>
  <c r="BM83" i="2"/>
  <c r="BN83" i="2"/>
  <c r="BO83" i="2"/>
  <c r="BP83" i="2"/>
  <c r="BQ83" i="2"/>
  <c r="BP84" i="5" s="1"/>
  <c r="BF84" i="2"/>
  <c r="BG84" i="2"/>
  <c r="BH84" i="2"/>
  <c r="BI84" i="2"/>
  <c r="BJ84" i="2"/>
  <c r="BK84" i="2"/>
  <c r="BL84" i="2"/>
  <c r="BM84" i="2"/>
  <c r="BN84" i="2"/>
  <c r="BO84" i="2"/>
  <c r="BP84" i="2"/>
  <c r="BQ84" i="2"/>
  <c r="BP85" i="5" s="1"/>
  <c r="BR84" i="2"/>
  <c r="BQ85" i="5" s="1"/>
  <c r="BF85" i="2"/>
  <c r="BG85" i="2"/>
  <c r="BH85" i="2"/>
  <c r="BI85" i="2"/>
  <c r="BJ85" i="2"/>
  <c r="BK85" i="2"/>
  <c r="BL85" i="2"/>
  <c r="BM85" i="2"/>
  <c r="BN85" i="2"/>
  <c r="BO85" i="2"/>
  <c r="BP85" i="2"/>
  <c r="BQ85" i="2"/>
  <c r="BP86" i="5" s="1"/>
  <c r="BR85" i="2"/>
  <c r="BQ86" i="5" s="1"/>
  <c r="BF86" i="2"/>
  <c r="BG86" i="2"/>
  <c r="BH86" i="2"/>
  <c r="BQ86" i="2" s="1"/>
  <c r="BP87" i="5" s="1"/>
  <c r="BI86" i="2"/>
  <c r="BJ86" i="2"/>
  <c r="BK86" i="2"/>
  <c r="BR86" i="2" s="1"/>
  <c r="BQ87" i="5" s="1"/>
  <c r="BL86" i="2"/>
  <c r="BM86" i="2"/>
  <c r="BN86" i="2"/>
  <c r="BO86" i="2"/>
  <c r="BP86" i="2"/>
  <c r="BF87" i="2"/>
  <c r="BG87" i="2"/>
  <c r="BH87" i="2"/>
  <c r="BI87" i="2"/>
  <c r="BJ87" i="2"/>
  <c r="BK87" i="2"/>
  <c r="BL87" i="2"/>
  <c r="BM87" i="2"/>
  <c r="BN87" i="2"/>
  <c r="BO87" i="2"/>
  <c r="BP87" i="2"/>
  <c r="BQ87" i="2"/>
  <c r="BP88" i="5" s="1"/>
  <c r="BF88" i="2"/>
  <c r="BG88" i="2"/>
  <c r="BH88" i="2"/>
  <c r="BI88" i="2"/>
  <c r="BJ88" i="2"/>
  <c r="BK88" i="2"/>
  <c r="BL88" i="2"/>
  <c r="BM88" i="2"/>
  <c r="BN88" i="2"/>
  <c r="BO88" i="2"/>
  <c r="BP88" i="2"/>
  <c r="BQ88" i="2"/>
  <c r="BP89" i="5" s="1"/>
  <c r="BR88" i="2"/>
  <c r="BQ89" i="5" s="1"/>
  <c r="BF89" i="2"/>
  <c r="BG89" i="2"/>
  <c r="BH89" i="2"/>
  <c r="BI89" i="2"/>
  <c r="BJ89" i="2"/>
  <c r="BK89" i="2"/>
  <c r="BR89" i="2" s="1"/>
  <c r="BQ90" i="5" s="1"/>
  <c r="BL89" i="2"/>
  <c r="BM89" i="2"/>
  <c r="BN89" i="2"/>
  <c r="BO89" i="2"/>
  <c r="BP89" i="2"/>
  <c r="BQ89" i="2"/>
  <c r="BP90" i="5" s="1"/>
  <c r="BF90" i="2"/>
  <c r="BG90" i="2"/>
  <c r="BH90" i="2"/>
  <c r="BQ90" i="2" s="1"/>
  <c r="BP91" i="5" s="1"/>
  <c r="BI90" i="2"/>
  <c r="BJ90" i="2"/>
  <c r="BK90" i="2"/>
  <c r="BR90" i="2" s="1"/>
  <c r="BQ91" i="5" s="1"/>
  <c r="BL90" i="2"/>
  <c r="BM90" i="2"/>
  <c r="BN90" i="2"/>
  <c r="BO90" i="2"/>
  <c r="BP90" i="2"/>
  <c r="BF91" i="2"/>
  <c r="BG91" i="2"/>
  <c r="BH91" i="2"/>
  <c r="BI91" i="2"/>
  <c r="BJ91" i="2"/>
  <c r="BK91" i="2"/>
  <c r="BL91" i="2"/>
  <c r="BM91" i="2"/>
  <c r="BN91" i="2"/>
  <c r="BO91" i="2"/>
  <c r="BP91" i="2"/>
  <c r="BQ91" i="2"/>
  <c r="BP92" i="5" s="1"/>
  <c r="BR91" i="2"/>
  <c r="BQ92" i="5" s="1"/>
  <c r="BF92" i="2"/>
  <c r="BG92" i="2"/>
  <c r="BH92" i="2"/>
  <c r="BI92" i="2"/>
  <c r="BJ92" i="2"/>
  <c r="BK92" i="2"/>
  <c r="BL92" i="2"/>
  <c r="BM92" i="2"/>
  <c r="BN92" i="2"/>
  <c r="BO92" i="2"/>
  <c r="BP92" i="2"/>
  <c r="BQ92" i="2"/>
  <c r="BP93" i="5" s="1"/>
  <c r="BR92" i="2"/>
  <c r="BQ93" i="5" s="1"/>
  <c r="BF93" i="2"/>
  <c r="BG93" i="2"/>
  <c r="BH93" i="2"/>
  <c r="BI93" i="2"/>
  <c r="BJ93" i="2"/>
  <c r="BK93" i="2"/>
  <c r="BL93" i="2"/>
  <c r="BM93" i="2"/>
  <c r="BN93" i="2"/>
  <c r="BO93" i="2"/>
  <c r="BP93" i="2"/>
  <c r="BR93" i="2"/>
  <c r="BQ94" i="5" s="1"/>
  <c r="BF94" i="2"/>
  <c r="BG94" i="2"/>
  <c r="BH94" i="2"/>
  <c r="BQ94" i="2" s="1"/>
  <c r="BP95" i="5" s="1"/>
  <c r="BI94" i="2"/>
  <c r="BJ94" i="2"/>
  <c r="BK94" i="2"/>
  <c r="BL94" i="2"/>
  <c r="BM94" i="2"/>
  <c r="BN94" i="2"/>
  <c r="BO94" i="2"/>
  <c r="BP94" i="2"/>
  <c r="BF95" i="2"/>
  <c r="BG95" i="2"/>
  <c r="BH95" i="2"/>
  <c r="BI95" i="2"/>
  <c r="BJ95" i="2"/>
  <c r="BK95" i="2"/>
  <c r="BR95" i="2" s="1"/>
  <c r="BQ96" i="5" s="1"/>
  <c r="BL95" i="2"/>
  <c r="BM95" i="2"/>
  <c r="BN95" i="2"/>
  <c r="BO95" i="2"/>
  <c r="BP95" i="2"/>
  <c r="BQ95" i="2"/>
  <c r="BP96" i="5" s="1"/>
  <c r="BF96" i="2"/>
  <c r="BG96" i="2"/>
  <c r="BH96" i="2"/>
  <c r="BI96" i="2"/>
  <c r="BJ96" i="2"/>
  <c r="BK96" i="2"/>
  <c r="BL96" i="2"/>
  <c r="BM96" i="2"/>
  <c r="BN96" i="2"/>
  <c r="BO96" i="2"/>
  <c r="BP96" i="2"/>
  <c r="BQ96" i="2"/>
  <c r="BP97" i="5" s="1"/>
  <c r="BR96" i="2"/>
  <c r="BQ97" i="5" s="1"/>
  <c r="BF97" i="2"/>
  <c r="BG97" i="2"/>
  <c r="BH97" i="2"/>
  <c r="BI97" i="2"/>
  <c r="BJ97" i="2"/>
  <c r="BK97" i="2"/>
  <c r="BL97" i="2"/>
  <c r="BM97" i="2"/>
  <c r="BN97" i="2"/>
  <c r="BO97" i="2"/>
  <c r="BP97" i="2"/>
  <c r="BQ97" i="2"/>
  <c r="BP98" i="5" s="1"/>
  <c r="BR97" i="2"/>
  <c r="BQ98" i="5" s="1"/>
  <c r="BF98" i="2"/>
  <c r="BG98" i="2"/>
  <c r="BH98" i="2"/>
  <c r="BQ98" i="2" s="1"/>
  <c r="BP99" i="5" s="1"/>
  <c r="BI98" i="2"/>
  <c r="BJ98" i="2"/>
  <c r="BK98" i="2"/>
  <c r="BR98" i="2" s="1"/>
  <c r="BQ99" i="5" s="1"/>
  <c r="BL98" i="2"/>
  <c r="BM98" i="2"/>
  <c r="BN98" i="2"/>
  <c r="BO98" i="2"/>
  <c r="BP98" i="2"/>
  <c r="BF99" i="2"/>
  <c r="BG99" i="2"/>
  <c r="BH99" i="2"/>
  <c r="BI99" i="2"/>
  <c r="BJ99" i="2"/>
  <c r="BK99" i="2"/>
  <c r="BL99" i="2"/>
  <c r="BM99" i="2"/>
  <c r="BN99" i="2"/>
  <c r="BO99" i="2"/>
  <c r="BP99" i="2"/>
  <c r="BQ99" i="2"/>
  <c r="BP100" i="5" s="1"/>
  <c r="BR99" i="2"/>
  <c r="BQ100" i="5" s="1"/>
  <c r="BF100" i="2"/>
  <c r="BG100" i="2"/>
  <c r="BH100" i="2"/>
  <c r="BI100" i="2"/>
  <c r="BJ100" i="2"/>
  <c r="BK100" i="2"/>
  <c r="BL100" i="2"/>
  <c r="BM100" i="2"/>
  <c r="BN100" i="2"/>
  <c r="BO100" i="2"/>
  <c r="BP100" i="2"/>
  <c r="BQ100" i="2"/>
  <c r="BP101" i="5" s="1"/>
  <c r="BR100" i="2"/>
  <c r="BQ101" i="5" s="1"/>
  <c r="BF101" i="2"/>
  <c r="BG101" i="2"/>
  <c r="BH101" i="2"/>
  <c r="BI101" i="2"/>
  <c r="BJ101" i="2"/>
  <c r="BK101" i="2"/>
  <c r="BL101" i="2"/>
  <c r="BM101" i="2"/>
  <c r="BN101" i="2"/>
  <c r="BO101" i="2"/>
  <c r="BP101" i="2"/>
  <c r="BR101" i="2"/>
  <c r="BQ102" i="5" s="1"/>
  <c r="BF102" i="2"/>
  <c r="BG102" i="2"/>
  <c r="BH102" i="2"/>
  <c r="BQ102" i="2" s="1"/>
  <c r="BP103" i="5" s="1"/>
  <c r="BI102" i="2"/>
  <c r="BJ102" i="2"/>
  <c r="BK102" i="2"/>
  <c r="BL102" i="2"/>
  <c r="BM102" i="2"/>
  <c r="BN102" i="2"/>
  <c r="BO102" i="2"/>
  <c r="BP102" i="2"/>
  <c r="BF103" i="2"/>
  <c r="BG103" i="2"/>
  <c r="BH103" i="2"/>
  <c r="BI103" i="2"/>
  <c r="BJ103" i="2"/>
  <c r="BK103" i="2"/>
  <c r="BR103" i="2" s="1"/>
  <c r="BQ104" i="5" s="1"/>
  <c r="BL103" i="2"/>
  <c r="BM103" i="2"/>
  <c r="BN103" i="2"/>
  <c r="BO103" i="2"/>
  <c r="BP103" i="2"/>
  <c r="BQ103" i="2"/>
  <c r="BP104" i="5" s="1"/>
  <c r="BF104" i="2"/>
  <c r="BG104" i="2"/>
  <c r="BH104" i="2"/>
  <c r="BI104" i="2"/>
  <c r="BJ104" i="2"/>
  <c r="BK104" i="2"/>
  <c r="BL104" i="2"/>
  <c r="BM104" i="2"/>
  <c r="BN104" i="2"/>
  <c r="BO104" i="2"/>
  <c r="BN105" i="5" s="1"/>
  <c r="BQ104" i="2"/>
  <c r="BP105" i="5" s="1"/>
  <c r="BF105" i="2"/>
  <c r="BG105" i="2"/>
  <c r="BH105" i="2"/>
  <c r="BI105" i="2"/>
  <c r="BJ105" i="2"/>
  <c r="BK105" i="2"/>
  <c r="BL105" i="2"/>
  <c r="BM105" i="2"/>
  <c r="BN105" i="2"/>
  <c r="BO105" i="2"/>
  <c r="BN106" i="5" s="1"/>
  <c r="BQ105" i="2"/>
  <c r="BP106" i="5" s="1"/>
  <c r="BF106" i="2"/>
  <c r="BG106" i="2"/>
  <c r="BH106" i="2"/>
  <c r="BQ106" i="2" s="1"/>
  <c r="BP107" i="5" s="1"/>
  <c r="BI106" i="2"/>
  <c r="BJ106" i="2"/>
  <c r="BK106" i="2"/>
  <c r="BL106" i="2"/>
  <c r="BM106" i="2"/>
  <c r="BN106" i="2"/>
  <c r="BO106" i="2"/>
  <c r="BN107" i="5" s="1"/>
  <c r="BF107" i="2"/>
  <c r="BG107" i="2"/>
  <c r="BH107" i="2"/>
  <c r="BI107" i="2"/>
  <c r="BJ107" i="2"/>
  <c r="BK107" i="2"/>
  <c r="BL107" i="2"/>
  <c r="BM107" i="2"/>
  <c r="BN107" i="2"/>
  <c r="BO107" i="2"/>
  <c r="BN108" i="5" s="1"/>
  <c r="BQ107" i="2"/>
  <c r="BP108" i="5" s="1"/>
  <c r="BF108" i="2"/>
  <c r="BG108" i="2"/>
  <c r="BH108" i="2"/>
  <c r="BI108" i="2"/>
  <c r="BJ108" i="2"/>
  <c r="BK108" i="2"/>
  <c r="BL108" i="2"/>
  <c r="BM108" i="2"/>
  <c r="BN108" i="2"/>
  <c r="BO108" i="2"/>
  <c r="BP108" i="2"/>
  <c r="BQ108" i="2"/>
  <c r="BP109" i="5" s="1"/>
  <c r="BR108" i="2"/>
  <c r="BQ109" i="5" s="1"/>
  <c r="BF109" i="2"/>
  <c r="BG109" i="2"/>
  <c r="BH109" i="2"/>
  <c r="BI109" i="2"/>
  <c r="BJ109" i="2"/>
  <c r="BK109" i="2"/>
  <c r="BL109" i="2"/>
  <c r="BM109" i="2"/>
  <c r="BN109" i="2"/>
  <c r="BO109" i="2"/>
  <c r="BP109" i="2"/>
  <c r="BR109" i="2"/>
  <c r="BQ110" i="5" s="1"/>
  <c r="BF110" i="2"/>
  <c r="BG110" i="2"/>
  <c r="BH110" i="2"/>
  <c r="BQ110" i="2" s="1"/>
  <c r="BP111" i="5" s="1"/>
  <c r="BI110" i="2"/>
  <c r="BJ110" i="2"/>
  <c r="BK110" i="2"/>
  <c r="BL110" i="2"/>
  <c r="BM110" i="2"/>
  <c r="BN110" i="2"/>
  <c r="BO110" i="2"/>
  <c r="BP110" i="2"/>
  <c r="BF111" i="2"/>
  <c r="BG111" i="2"/>
  <c r="BH111" i="2"/>
  <c r="BI111" i="2"/>
  <c r="BJ111" i="2"/>
  <c r="BK111" i="2"/>
  <c r="BR111" i="2" s="1"/>
  <c r="BQ112" i="5" s="1"/>
  <c r="BL111" i="2"/>
  <c r="BM111" i="2"/>
  <c r="BN111" i="2"/>
  <c r="BO111" i="2"/>
  <c r="BP111" i="2"/>
  <c r="BQ111" i="2"/>
  <c r="BP112" i="5" s="1"/>
  <c r="BF112" i="2"/>
  <c r="BG112" i="2"/>
  <c r="BH112" i="2"/>
  <c r="BI112" i="2"/>
  <c r="BJ112" i="2"/>
  <c r="BK112" i="2"/>
  <c r="BL112" i="2"/>
  <c r="BM112" i="2"/>
  <c r="BN112" i="2"/>
  <c r="BO112" i="2"/>
  <c r="BP112" i="2"/>
  <c r="BQ112" i="2"/>
  <c r="BP113" i="5" s="1"/>
  <c r="BR112" i="2"/>
  <c r="BQ113" i="5" s="1"/>
  <c r="BF113" i="2"/>
  <c r="BG113" i="2"/>
  <c r="BH113" i="2"/>
  <c r="BI113" i="2"/>
  <c r="BJ113" i="2"/>
  <c r="BK113" i="2"/>
  <c r="BL113" i="2"/>
  <c r="BM113" i="2"/>
  <c r="BN113" i="2"/>
  <c r="BO113" i="2"/>
  <c r="BP113" i="2"/>
  <c r="BQ113" i="2"/>
  <c r="BP114" i="5" s="1"/>
  <c r="BR113" i="2"/>
  <c r="BQ114" i="5" s="1"/>
  <c r="BF114" i="2"/>
  <c r="BG114" i="2"/>
  <c r="BH114" i="2"/>
  <c r="BQ114" i="2" s="1"/>
  <c r="BP115" i="5" s="1"/>
  <c r="BI114" i="2"/>
  <c r="BJ114" i="2"/>
  <c r="BK114" i="2"/>
  <c r="BR114" i="2" s="1"/>
  <c r="BQ115" i="5" s="1"/>
  <c r="BL114" i="2"/>
  <c r="BM114" i="2"/>
  <c r="BN114" i="2"/>
  <c r="BO114" i="2"/>
  <c r="BP114" i="2"/>
  <c r="BF115" i="2"/>
  <c r="BG115" i="2"/>
  <c r="BH115" i="2"/>
  <c r="BI115" i="2"/>
  <c r="BJ115" i="2"/>
  <c r="BK115" i="2"/>
  <c r="BL115" i="2"/>
  <c r="BM115" i="2"/>
  <c r="BN115" i="2"/>
  <c r="BO115" i="2"/>
  <c r="BP115" i="2"/>
  <c r="BQ115" i="2"/>
  <c r="BP116" i="5" s="1"/>
  <c r="BR115" i="2"/>
  <c r="BQ116" i="5" s="1"/>
  <c r="BF116" i="2"/>
  <c r="BG116" i="2"/>
  <c r="BH116" i="2"/>
  <c r="BI116" i="2"/>
  <c r="BJ116" i="2"/>
  <c r="BK116" i="2"/>
  <c r="BL116" i="2"/>
  <c r="BM116" i="2"/>
  <c r="BN116" i="2"/>
  <c r="BO116" i="2"/>
  <c r="BP116" i="2"/>
  <c r="BQ116" i="2"/>
  <c r="BP117" i="5" s="1"/>
  <c r="BR116" i="2"/>
  <c r="BQ117" i="5" s="1"/>
  <c r="BF117" i="2"/>
  <c r="BG117" i="2"/>
  <c r="BH117" i="2"/>
  <c r="BI117" i="2"/>
  <c r="BJ117" i="2"/>
  <c r="BK117" i="2"/>
  <c r="BL117" i="2"/>
  <c r="BM117" i="2"/>
  <c r="BN117" i="2"/>
  <c r="BO117" i="2"/>
  <c r="BP117" i="2"/>
  <c r="BR117" i="2"/>
  <c r="BQ118" i="5" s="1"/>
  <c r="BF118" i="2"/>
  <c r="BG118" i="2"/>
  <c r="BH118" i="2"/>
  <c r="BQ118" i="2" s="1"/>
  <c r="BP119" i="5" s="1"/>
  <c r="BI118" i="2"/>
  <c r="BJ118" i="2"/>
  <c r="BK118" i="2"/>
  <c r="BL118" i="2"/>
  <c r="BM118" i="2"/>
  <c r="BN118" i="2"/>
  <c r="BO118" i="2"/>
  <c r="BP118" i="2"/>
  <c r="BF119" i="2"/>
  <c r="BG119" i="2"/>
  <c r="BH119" i="2"/>
  <c r="BI119" i="2"/>
  <c r="BJ119" i="2"/>
  <c r="BK119" i="2"/>
  <c r="BR119" i="2" s="1"/>
  <c r="BQ120" i="5" s="1"/>
  <c r="BL119" i="2"/>
  <c r="BM119" i="2"/>
  <c r="BN119" i="2"/>
  <c r="BO119" i="2"/>
  <c r="BP119" i="2"/>
  <c r="BQ119" i="2"/>
  <c r="BP120" i="5" s="1"/>
  <c r="BF120" i="2"/>
  <c r="BG120" i="2"/>
  <c r="BH120" i="2"/>
  <c r="BI120" i="2"/>
  <c r="BJ120" i="2"/>
  <c r="BK120" i="2"/>
  <c r="BL120" i="2"/>
  <c r="BM120" i="2"/>
  <c r="BN120" i="2"/>
  <c r="BO120" i="2"/>
  <c r="BP120" i="2"/>
  <c r="BQ120" i="2"/>
  <c r="BP121" i="5" s="1"/>
  <c r="BR120" i="2"/>
  <c r="BQ121" i="5" s="1"/>
  <c r="BF121" i="2"/>
  <c r="BG121" i="2"/>
  <c r="BH121" i="2"/>
  <c r="BI121" i="2"/>
  <c r="BJ121" i="2"/>
  <c r="BK121" i="2"/>
  <c r="BL121" i="2"/>
  <c r="BM121" i="2"/>
  <c r="BN121" i="2"/>
  <c r="BO121" i="2"/>
  <c r="BP121" i="2"/>
  <c r="BQ121" i="2"/>
  <c r="BP122" i="5" s="1"/>
  <c r="BR121" i="2"/>
  <c r="BQ122" i="5" s="1"/>
  <c r="BF122" i="2"/>
  <c r="BG122" i="2"/>
  <c r="BH122" i="2"/>
  <c r="BQ122" i="2" s="1"/>
  <c r="BP123" i="5" s="1"/>
  <c r="BI122" i="2"/>
  <c r="BJ122" i="2"/>
  <c r="BK122" i="2"/>
  <c r="BR122" i="2" s="1"/>
  <c r="BQ123" i="5" s="1"/>
  <c r="BL122" i="2"/>
  <c r="BM122" i="2"/>
  <c r="BN122" i="2"/>
  <c r="BO122" i="2"/>
  <c r="BP122" i="2"/>
  <c r="BF123" i="2"/>
  <c r="BG123" i="2"/>
  <c r="BH123" i="2"/>
  <c r="BI123" i="2"/>
  <c r="BJ123" i="2"/>
  <c r="BK123" i="2"/>
  <c r="BL123" i="2"/>
  <c r="BM123" i="2"/>
  <c r="BN123" i="2"/>
  <c r="BO123" i="2"/>
  <c r="BP123" i="2"/>
  <c r="BQ123" i="2"/>
  <c r="BP124" i="5" s="1"/>
  <c r="BR123" i="2"/>
  <c r="BQ124" i="5" s="1"/>
  <c r="BF124" i="2"/>
  <c r="BG124" i="2"/>
  <c r="BH124" i="2"/>
  <c r="BI124" i="2"/>
  <c r="BJ124" i="2"/>
  <c r="BK124" i="2"/>
  <c r="BL124" i="2"/>
  <c r="BM124" i="2"/>
  <c r="BN124" i="2"/>
  <c r="BO124" i="2"/>
  <c r="BP124" i="2"/>
  <c r="BQ124" i="2"/>
  <c r="BP125" i="5" s="1"/>
  <c r="BR124" i="2"/>
  <c r="BQ125" i="5" s="1"/>
  <c r="BF125" i="2"/>
  <c r="BG125" i="2"/>
  <c r="BH125" i="2"/>
  <c r="BI125" i="2"/>
  <c r="BJ125" i="2"/>
  <c r="BK125" i="2"/>
  <c r="BL125" i="2"/>
  <c r="BM125" i="2"/>
  <c r="BN125" i="2"/>
  <c r="BO125" i="2"/>
  <c r="BP125" i="2"/>
  <c r="BR125" i="2"/>
  <c r="BQ126" i="5" s="1"/>
  <c r="BF126" i="2"/>
  <c r="BG126" i="2"/>
  <c r="BH126" i="2"/>
  <c r="BQ126" i="2" s="1"/>
  <c r="BP127" i="5" s="1"/>
  <c r="BI126" i="2"/>
  <c r="BJ126" i="2"/>
  <c r="BK126" i="2"/>
  <c r="BL126" i="2"/>
  <c r="BM126" i="2"/>
  <c r="BN126" i="2"/>
  <c r="BO126" i="2"/>
  <c r="BP126" i="2"/>
  <c r="BF127" i="2"/>
  <c r="BG127" i="2"/>
  <c r="BH127" i="2"/>
  <c r="BI127" i="2"/>
  <c r="BJ127" i="2"/>
  <c r="BK127" i="2"/>
  <c r="BR127" i="2" s="1"/>
  <c r="BQ128" i="5" s="1"/>
  <c r="BL127" i="2"/>
  <c r="BM127" i="2"/>
  <c r="BN127" i="2"/>
  <c r="BO127" i="2"/>
  <c r="BP127" i="2"/>
  <c r="BQ127" i="2"/>
  <c r="BP128" i="5" s="1"/>
  <c r="BF128" i="2"/>
  <c r="BG128" i="2"/>
  <c r="BH128" i="2"/>
  <c r="BI128" i="2"/>
  <c r="BJ128" i="2"/>
  <c r="BK128" i="2"/>
  <c r="BL128" i="2"/>
  <c r="BM128" i="2"/>
  <c r="BN128" i="2"/>
  <c r="BO128" i="2"/>
  <c r="BP128" i="2"/>
  <c r="BQ128" i="2"/>
  <c r="BP129" i="5" s="1"/>
  <c r="BR128" i="2"/>
  <c r="BQ129" i="5" s="1"/>
  <c r="BF129" i="2"/>
  <c r="BG129" i="2"/>
  <c r="BH129" i="2"/>
  <c r="BI129" i="2"/>
  <c r="BJ129" i="2"/>
  <c r="BK129" i="2"/>
  <c r="BL129" i="2"/>
  <c r="BM129" i="2"/>
  <c r="BN129" i="2"/>
  <c r="BO129" i="2"/>
  <c r="BP129" i="2"/>
  <c r="BQ129" i="2"/>
  <c r="BP130" i="5" s="1"/>
  <c r="BR129" i="2"/>
  <c r="BQ130" i="5" s="1"/>
  <c r="BF130" i="2"/>
  <c r="BG130" i="2"/>
  <c r="BH130" i="2"/>
  <c r="BQ130" i="2" s="1"/>
  <c r="BP131" i="5" s="1"/>
  <c r="BI130" i="2"/>
  <c r="BJ130" i="2"/>
  <c r="BK130" i="2"/>
  <c r="BR130" i="2" s="1"/>
  <c r="BQ131" i="5" s="1"/>
  <c r="BL130" i="2"/>
  <c r="BM130" i="2"/>
  <c r="BN130" i="2"/>
  <c r="BO130" i="2"/>
  <c r="BP130" i="2"/>
  <c r="BF131" i="2"/>
  <c r="BG131" i="2"/>
  <c r="BH131" i="2"/>
  <c r="BI131" i="2"/>
  <c r="BJ131" i="2"/>
  <c r="BK131" i="2"/>
  <c r="BL131" i="2"/>
  <c r="BM131" i="2"/>
  <c r="BN131" i="2"/>
  <c r="BO131" i="2"/>
  <c r="BP131" i="2"/>
  <c r="BQ131" i="2"/>
  <c r="BP132" i="5" s="1"/>
  <c r="BR131" i="2"/>
  <c r="BQ132" i="5" s="1"/>
  <c r="BF132" i="2"/>
  <c r="BG132" i="2"/>
  <c r="BH132" i="2"/>
  <c r="BI132" i="2"/>
  <c r="BJ132" i="2"/>
  <c r="BK132" i="2"/>
  <c r="BL132" i="2"/>
  <c r="BM132" i="2"/>
  <c r="BN132" i="2"/>
  <c r="BO132" i="2"/>
  <c r="BP132" i="2"/>
  <c r="BQ132" i="2"/>
  <c r="BP133" i="5" s="1"/>
  <c r="BR132" i="2"/>
  <c r="BQ133" i="5" s="1"/>
  <c r="BF133" i="2"/>
  <c r="BG133" i="2"/>
  <c r="BH133" i="2"/>
  <c r="BI133" i="2"/>
  <c r="BJ133" i="2"/>
  <c r="BK133" i="2"/>
  <c r="BL133" i="2"/>
  <c r="BM133" i="2"/>
  <c r="BN133" i="2"/>
  <c r="BO133" i="2"/>
  <c r="BP133" i="2"/>
  <c r="BR133" i="2"/>
  <c r="BQ134" i="5" s="1"/>
  <c r="BF134" i="2"/>
  <c r="BG134" i="2"/>
  <c r="BH134" i="2"/>
  <c r="BQ134" i="2" s="1"/>
  <c r="BP135" i="5" s="1"/>
  <c r="BI134" i="2"/>
  <c r="BJ134" i="2"/>
  <c r="BK134" i="2"/>
  <c r="BL134" i="2"/>
  <c r="BM134" i="2"/>
  <c r="BN134" i="2"/>
  <c r="BO134" i="2"/>
  <c r="BP134" i="2"/>
  <c r="BF135" i="2"/>
  <c r="BG135" i="2"/>
  <c r="BH135" i="2"/>
  <c r="BI135" i="2"/>
  <c r="BJ135" i="2"/>
  <c r="BK135" i="2"/>
  <c r="BR135" i="2" s="1"/>
  <c r="BQ136" i="5" s="1"/>
  <c r="BL135" i="2"/>
  <c r="BM135" i="2"/>
  <c r="BN135" i="2"/>
  <c r="BO135" i="2"/>
  <c r="BP135" i="2"/>
  <c r="BQ135" i="2"/>
  <c r="BP136" i="5" s="1"/>
  <c r="BF136" i="2"/>
  <c r="BG136" i="2"/>
  <c r="BH136" i="2"/>
  <c r="BI136" i="2"/>
  <c r="BJ136" i="2"/>
  <c r="BK136" i="2"/>
  <c r="BL136" i="2"/>
  <c r="BM136" i="2"/>
  <c r="BN136" i="2"/>
  <c r="BO136" i="2"/>
  <c r="BP136" i="2"/>
  <c r="BQ136" i="2"/>
  <c r="BP137" i="5" s="1"/>
  <c r="BR136" i="2"/>
  <c r="BQ137" i="5" s="1"/>
  <c r="BF137" i="2"/>
  <c r="BG137" i="2"/>
  <c r="BH137" i="2"/>
  <c r="BI137" i="2"/>
  <c r="BJ137" i="2"/>
  <c r="BK137" i="2"/>
  <c r="BL137" i="2"/>
  <c r="BM137" i="2"/>
  <c r="BN137" i="2"/>
  <c r="BO137" i="2"/>
  <c r="BP137" i="2"/>
  <c r="BQ137" i="2"/>
  <c r="BP138" i="5" s="1"/>
  <c r="BR137" i="2"/>
  <c r="BQ138" i="5" s="1"/>
  <c r="BF138" i="2"/>
  <c r="BG138" i="2"/>
  <c r="BH138" i="2"/>
  <c r="BQ138" i="2" s="1"/>
  <c r="BP139" i="5" s="1"/>
  <c r="BI138" i="2"/>
  <c r="BJ138" i="2"/>
  <c r="BK138" i="2"/>
  <c r="BR138" i="2" s="1"/>
  <c r="BQ139" i="5" s="1"/>
  <c r="BL138" i="2"/>
  <c r="BM138" i="2"/>
  <c r="BN138" i="2"/>
  <c r="BO138" i="2"/>
  <c r="BP138" i="2"/>
  <c r="BF139" i="2"/>
  <c r="BG139" i="2"/>
  <c r="BH139" i="2"/>
  <c r="BI139" i="2"/>
  <c r="BJ139" i="2"/>
  <c r="BK139" i="2"/>
  <c r="BL139" i="2"/>
  <c r="BM139" i="2"/>
  <c r="BN139" i="2"/>
  <c r="BO139" i="2"/>
  <c r="BP139" i="2"/>
  <c r="BQ139" i="2"/>
  <c r="BP140" i="5" s="1"/>
  <c r="BR139" i="2"/>
  <c r="BQ140" i="5" s="1"/>
  <c r="BF140" i="2"/>
  <c r="BG140" i="2"/>
  <c r="BH140" i="2"/>
  <c r="BI140" i="2"/>
  <c r="BJ140" i="2"/>
  <c r="BK140" i="2"/>
  <c r="BL140" i="2"/>
  <c r="BM140" i="2"/>
  <c r="BN140" i="2"/>
  <c r="BO140" i="2"/>
  <c r="BP140" i="2"/>
  <c r="BQ140" i="2"/>
  <c r="BP141" i="5" s="1"/>
  <c r="BR140" i="2"/>
  <c r="BQ141" i="5" s="1"/>
  <c r="BF141" i="2"/>
  <c r="BG141" i="2"/>
  <c r="BH141" i="2"/>
  <c r="BI141" i="2"/>
  <c r="BJ141" i="2"/>
  <c r="BK141" i="2"/>
  <c r="BL141" i="2"/>
  <c r="BM141" i="2"/>
  <c r="BN141" i="2"/>
  <c r="BO141" i="2"/>
  <c r="BP141" i="2"/>
  <c r="BR141" i="2"/>
  <c r="BQ142" i="5" s="1"/>
  <c r="BF142" i="2"/>
  <c r="BG142" i="2"/>
  <c r="BH142" i="2"/>
  <c r="BQ142" i="2" s="1"/>
  <c r="BP143" i="5" s="1"/>
  <c r="BI142" i="2"/>
  <c r="BJ142" i="2"/>
  <c r="BK142" i="2"/>
  <c r="BL142" i="2"/>
  <c r="BM142" i="2"/>
  <c r="BN142" i="2"/>
  <c r="BO142" i="2"/>
  <c r="BP142" i="2"/>
  <c r="BF143" i="2"/>
  <c r="BG143" i="2"/>
  <c r="BH143" i="2"/>
  <c r="BI143" i="2"/>
  <c r="BJ143" i="2"/>
  <c r="BK143" i="2"/>
  <c r="BR143" i="2" s="1"/>
  <c r="BQ144" i="5" s="1"/>
  <c r="BL143" i="2"/>
  <c r="BM143" i="2"/>
  <c r="BN143" i="2"/>
  <c r="BO143" i="2"/>
  <c r="BP143" i="2"/>
  <c r="BQ143" i="2"/>
  <c r="BP144" i="5" s="1"/>
  <c r="BF144" i="2"/>
  <c r="BG144" i="2"/>
  <c r="BH144" i="2"/>
  <c r="BI144" i="2"/>
  <c r="BJ144" i="2"/>
  <c r="BK144" i="2"/>
  <c r="BL144" i="2"/>
  <c r="BM144" i="2"/>
  <c r="BN144" i="2"/>
  <c r="BO144" i="2"/>
  <c r="BP144" i="2"/>
  <c r="BQ144" i="2"/>
  <c r="BP145" i="5" s="1"/>
  <c r="BR144" i="2"/>
  <c r="BQ145" i="5" s="1"/>
  <c r="BF145" i="2"/>
  <c r="BG145" i="2"/>
  <c r="BH145" i="2"/>
  <c r="BI145" i="2"/>
  <c r="BJ145" i="2"/>
  <c r="BK145" i="2"/>
  <c r="BL145" i="2"/>
  <c r="BM145" i="2"/>
  <c r="BN145" i="2"/>
  <c r="BO145" i="2"/>
  <c r="BP145" i="2"/>
  <c r="BQ145" i="2"/>
  <c r="BP146" i="5" s="1"/>
  <c r="BR145" i="2"/>
  <c r="BQ146" i="5" s="1"/>
  <c r="BF146" i="2"/>
  <c r="BG146" i="2"/>
  <c r="BH146" i="2"/>
  <c r="BQ146" i="2" s="1"/>
  <c r="BP147" i="5" s="1"/>
  <c r="BI146" i="2"/>
  <c r="BJ146" i="2"/>
  <c r="BK146" i="2"/>
  <c r="BR146" i="2" s="1"/>
  <c r="BQ147" i="5" s="1"/>
  <c r="BL146" i="2"/>
  <c r="BM146" i="2"/>
  <c r="BN146" i="2"/>
  <c r="BO146" i="2"/>
  <c r="BP146" i="2"/>
  <c r="BF147" i="2"/>
  <c r="BG147" i="2"/>
  <c r="BH147" i="2"/>
  <c r="BI147" i="2"/>
  <c r="BJ147" i="2"/>
  <c r="BK147" i="2"/>
  <c r="BL147" i="2"/>
  <c r="BM147" i="2"/>
  <c r="BN147" i="2"/>
  <c r="BO147" i="2"/>
  <c r="BP147" i="2"/>
  <c r="BQ147" i="2"/>
  <c r="BP148" i="5" s="1"/>
  <c r="BR147" i="2"/>
  <c r="BQ148" i="5" s="1"/>
  <c r="BF148" i="2"/>
  <c r="BG148" i="2"/>
  <c r="BH148" i="2"/>
  <c r="BI148" i="2"/>
  <c r="BJ148" i="2"/>
  <c r="BK148" i="2"/>
  <c r="BL148" i="2"/>
  <c r="BM148" i="2"/>
  <c r="BN148" i="2"/>
  <c r="BO148" i="2"/>
  <c r="BP148" i="2"/>
  <c r="BQ148" i="2"/>
  <c r="BP149" i="5" s="1"/>
  <c r="BR148" i="2"/>
  <c r="BQ149" i="5" s="1"/>
  <c r="BF149" i="2"/>
  <c r="BG149" i="2"/>
  <c r="BH149" i="2"/>
  <c r="BI149" i="2"/>
  <c r="BJ149" i="2"/>
  <c r="BK149" i="2"/>
  <c r="BL149" i="2"/>
  <c r="BM149" i="2"/>
  <c r="BN149" i="2"/>
  <c r="BO149" i="2"/>
  <c r="BP149" i="2"/>
  <c r="BR149" i="2"/>
  <c r="BQ150" i="5" s="1"/>
  <c r="BF150" i="2"/>
  <c r="BG150" i="2"/>
  <c r="BH150" i="2"/>
  <c r="BQ150" i="2" s="1"/>
  <c r="BP151" i="5" s="1"/>
  <c r="BI150" i="2"/>
  <c r="BJ150" i="2"/>
  <c r="BK150" i="2"/>
  <c r="BL150" i="2"/>
  <c r="BM150" i="2"/>
  <c r="BN150" i="2"/>
  <c r="BO150" i="2"/>
  <c r="BP150" i="2"/>
  <c r="BF151" i="2"/>
  <c r="BG151" i="2"/>
  <c r="BH151" i="2"/>
  <c r="BI151" i="2"/>
  <c r="BJ151" i="2"/>
  <c r="BK151" i="2"/>
  <c r="BR151" i="2" s="1"/>
  <c r="BQ152" i="5" s="1"/>
  <c r="BL151" i="2"/>
  <c r="BM151" i="2"/>
  <c r="BN151" i="2"/>
  <c r="BO151" i="2"/>
  <c r="BP151" i="2"/>
  <c r="BQ151" i="2"/>
  <c r="BP152" i="5" s="1"/>
  <c r="BF152" i="2"/>
  <c r="BG152" i="2"/>
  <c r="BH152" i="2"/>
  <c r="BI152" i="2"/>
  <c r="BJ152" i="2"/>
  <c r="BK152" i="2"/>
  <c r="BL152" i="2"/>
  <c r="BM152" i="2"/>
  <c r="BN152" i="2"/>
  <c r="BO152" i="2"/>
  <c r="BP152" i="2"/>
  <c r="BQ152" i="2"/>
  <c r="BP153" i="5" s="1"/>
  <c r="BR152" i="2"/>
  <c r="BQ153" i="5" s="1"/>
  <c r="BF153" i="2"/>
  <c r="BG153" i="2"/>
  <c r="BH153" i="2"/>
  <c r="BI153" i="2"/>
  <c r="BJ153" i="2"/>
  <c r="BK153" i="2"/>
  <c r="BL153" i="2"/>
  <c r="BM153" i="2"/>
  <c r="BN153" i="2"/>
  <c r="BO153" i="2"/>
  <c r="BP153" i="2"/>
  <c r="BQ153" i="2"/>
  <c r="BP154" i="5" s="1"/>
  <c r="BR153" i="2"/>
  <c r="BQ154" i="5" s="1"/>
  <c r="BF154" i="2"/>
  <c r="BG154" i="2"/>
  <c r="BH154" i="2"/>
  <c r="BQ154" i="2" s="1"/>
  <c r="BP155" i="5" s="1"/>
  <c r="BI154" i="2"/>
  <c r="BJ154" i="2"/>
  <c r="BK154" i="2"/>
  <c r="BR154" i="2" s="1"/>
  <c r="BQ155" i="5" s="1"/>
  <c r="BL154" i="2"/>
  <c r="BM154" i="2"/>
  <c r="BN154" i="2"/>
  <c r="BO154" i="2"/>
  <c r="BP154" i="2"/>
  <c r="BF155" i="2"/>
  <c r="BG155" i="2"/>
  <c r="BH155" i="2"/>
  <c r="BI155" i="2"/>
  <c r="BJ155" i="2"/>
  <c r="BK155" i="2"/>
  <c r="BL155" i="2"/>
  <c r="BM155" i="2"/>
  <c r="BN155" i="2"/>
  <c r="BO155" i="2"/>
  <c r="BP155" i="2"/>
  <c r="BQ155" i="2"/>
  <c r="BP156" i="5" s="1"/>
  <c r="BR155" i="2"/>
  <c r="BQ156" i="5" s="1"/>
  <c r="BF156" i="2"/>
  <c r="BG156" i="2"/>
  <c r="BH156" i="2"/>
  <c r="BI156" i="2"/>
  <c r="BJ156" i="2"/>
  <c r="BK156" i="2"/>
  <c r="BL156" i="2"/>
  <c r="BM156" i="2"/>
  <c r="BN156" i="2"/>
  <c r="BO156" i="2"/>
  <c r="BP156" i="2"/>
  <c r="BQ156" i="2"/>
  <c r="BP157" i="5" s="1"/>
  <c r="BR156" i="2"/>
  <c r="BQ157" i="5" s="1"/>
  <c r="BF157" i="2"/>
  <c r="BG157" i="2"/>
  <c r="BH157" i="2"/>
  <c r="BI157" i="2"/>
  <c r="BJ157" i="2"/>
  <c r="BK157" i="2"/>
  <c r="BL157" i="2"/>
  <c r="BM157" i="2"/>
  <c r="BN157" i="2"/>
  <c r="BO157" i="2"/>
  <c r="BP157" i="2"/>
  <c r="BR157" i="2"/>
  <c r="BQ158" i="5" s="1"/>
  <c r="BF158" i="2"/>
  <c r="BG158" i="2"/>
  <c r="BH158" i="2"/>
  <c r="BQ158" i="2" s="1"/>
  <c r="BP159" i="5" s="1"/>
  <c r="BI158" i="2"/>
  <c r="BJ158" i="2"/>
  <c r="BK158" i="2"/>
  <c r="BL158" i="2"/>
  <c r="BM158" i="2"/>
  <c r="BN158" i="2"/>
  <c r="BO158" i="2"/>
  <c r="BP158" i="2"/>
  <c r="BF159" i="2"/>
  <c r="BG159" i="2"/>
  <c r="BH159" i="2"/>
  <c r="BI159" i="2"/>
  <c r="BJ159" i="2"/>
  <c r="BK159" i="2"/>
  <c r="BR159" i="2" s="1"/>
  <c r="BQ160" i="5" s="1"/>
  <c r="BL159" i="2"/>
  <c r="BM159" i="2"/>
  <c r="BN159" i="2"/>
  <c r="BO159" i="2"/>
  <c r="BP159" i="2"/>
  <c r="BQ159" i="2"/>
  <c r="BP160" i="5" s="1"/>
  <c r="BF160" i="2"/>
  <c r="BG160" i="2"/>
  <c r="BH160" i="2"/>
  <c r="BI160" i="2"/>
  <c r="BJ160" i="2"/>
  <c r="BK160" i="2"/>
  <c r="BL160" i="2"/>
  <c r="BM160" i="2"/>
  <c r="BN160" i="2"/>
  <c r="BO160" i="2"/>
  <c r="BP160" i="2"/>
  <c r="BQ160" i="2"/>
  <c r="BP161" i="5" s="1"/>
  <c r="BR160" i="2"/>
  <c r="BQ161" i="5" s="1"/>
  <c r="BF161" i="2"/>
  <c r="BG161" i="2"/>
  <c r="BH161" i="2"/>
  <c r="BI161" i="2"/>
  <c r="BJ161" i="2"/>
  <c r="BK161" i="2"/>
  <c r="BL161" i="2"/>
  <c r="BM161" i="2"/>
  <c r="BN161" i="2"/>
  <c r="BO161" i="2"/>
  <c r="BP161" i="2"/>
  <c r="BQ161" i="2"/>
  <c r="BP162" i="5" s="1"/>
  <c r="BR161" i="2"/>
  <c r="BQ162" i="5" s="1"/>
  <c r="BF162" i="2"/>
  <c r="BG162" i="2"/>
  <c r="BH162" i="2"/>
  <c r="BQ162" i="2" s="1"/>
  <c r="BP163" i="5" s="1"/>
  <c r="BI162" i="2"/>
  <c r="BJ162" i="2"/>
  <c r="BK162" i="2"/>
  <c r="BR162" i="2" s="1"/>
  <c r="BQ163" i="5" s="1"/>
  <c r="BL162" i="2"/>
  <c r="BM162" i="2"/>
  <c r="BN162" i="2"/>
  <c r="BO162" i="2"/>
  <c r="BP162" i="2"/>
  <c r="BF163" i="2"/>
  <c r="BG163" i="2"/>
  <c r="BH163" i="2"/>
  <c r="BI163" i="2"/>
  <c r="BJ163" i="2"/>
  <c r="BK163" i="2"/>
  <c r="BL163" i="2"/>
  <c r="BM163" i="2"/>
  <c r="BN163" i="2"/>
  <c r="BO163" i="2"/>
  <c r="BP163" i="2"/>
  <c r="BQ163" i="2"/>
  <c r="BP164" i="5" s="1"/>
  <c r="BR163" i="2"/>
  <c r="BQ164" i="5" s="1"/>
  <c r="BF164" i="2"/>
  <c r="BG164" i="2"/>
  <c r="BH164" i="2"/>
  <c r="BI164" i="2"/>
  <c r="BJ164" i="2"/>
  <c r="BK164" i="2"/>
  <c r="BL164" i="2"/>
  <c r="BM164" i="2"/>
  <c r="BN164" i="2"/>
  <c r="BO164" i="2"/>
  <c r="BP164" i="2"/>
  <c r="BQ164" i="2"/>
  <c r="BP165" i="5" s="1"/>
  <c r="BR164" i="2"/>
  <c r="BQ165" i="5" s="1"/>
  <c r="BF165" i="2"/>
  <c r="BG165" i="2"/>
  <c r="BH165" i="2"/>
  <c r="BI165" i="2"/>
  <c r="BJ165" i="2"/>
  <c r="BK165" i="2"/>
  <c r="BL165" i="2"/>
  <c r="BM165" i="2"/>
  <c r="BN165" i="2"/>
  <c r="BO165" i="2"/>
  <c r="BP165" i="2"/>
  <c r="BR165" i="2"/>
  <c r="BQ166" i="5" s="1"/>
  <c r="BF166" i="2"/>
  <c r="BG166" i="2"/>
  <c r="BH166" i="2"/>
  <c r="BQ166" i="2" s="1"/>
  <c r="BP167" i="5" s="1"/>
  <c r="BI166" i="2"/>
  <c r="BJ166" i="2"/>
  <c r="BK166" i="2"/>
  <c r="BL166" i="2"/>
  <c r="BM166" i="2"/>
  <c r="BN166" i="2"/>
  <c r="BO166" i="2"/>
  <c r="BP166" i="2"/>
  <c r="BF167" i="2"/>
  <c r="BG167" i="2"/>
  <c r="BH167" i="2"/>
  <c r="BI167" i="2"/>
  <c r="BJ167" i="2"/>
  <c r="BK167" i="2"/>
  <c r="BL167" i="2"/>
  <c r="BM167" i="2"/>
  <c r="BN167" i="2"/>
  <c r="BO167" i="2"/>
  <c r="BP167" i="2"/>
  <c r="BQ167" i="2"/>
  <c r="BP168" i="5" s="1"/>
  <c r="BF168" i="2"/>
  <c r="BG168" i="2"/>
  <c r="BH168" i="2"/>
  <c r="BI168" i="2"/>
  <c r="BJ168" i="2"/>
  <c r="BK168" i="2"/>
  <c r="BL168" i="2"/>
  <c r="BM168" i="2"/>
  <c r="BN168" i="2"/>
  <c r="BO168" i="2"/>
  <c r="BP168" i="2"/>
  <c r="BQ168" i="2"/>
  <c r="BP169" i="5" s="1"/>
  <c r="BR168" i="2"/>
  <c r="BQ169" i="5" s="1"/>
  <c r="BF169" i="2"/>
  <c r="BG169" i="2"/>
  <c r="BH169" i="2"/>
  <c r="BI169" i="2"/>
  <c r="BJ169" i="2"/>
  <c r="BK169" i="2"/>
  <c r="BL169" i="2"/>
  <c r="BM169" i="2"/>
  <c r="BN169" i="2"/>
  <c r="BO169" i="2"/>
  <c r="BP169" i="2"/>
  <c r="BQ169" i="2"/>
  <c r="BP170" i="5" s="1"/>
  <c r="BR169" i="2"/>
  <c r="BQ170" i="5" s="1"/>
  <c r="BF170" i="2"/>
  <c r="BG170" i="2"/>
  <c r="BH170" i="2"/>
  <c r="BQ170" i="2" s="1"/>
  <c r="BP171" i="5" s="1"/>
  <c r="BI170" i="2"/>
  <c r="BJ170" i="2"/>
  <c r="BK170" i="2"/>
  <c r="BL170" i="2"/>
  <c r="BM170" i="2"/>
  <c r="BN170" i="2"/>
  <c r="BO170" i="2"/>
  <c r="BP170" i="2"/>
  <c r="BF171" i="2"/>
  <c r="BG171" i="2"/>
  <c r="BH171" i="2"/>
  <c r="BI171" i="2"/>
  <c r="BJ171" i="2"/>
  <c r="BK171" i="2"/>
  <c r="BL171" i="2"/>
  <c r="BM171" i="2"/>
  <c r="BN171" i="2"/>
  <c r="BO171" i="2"/>
  <c r="BP171" i="2"/>
  <c r="BQ171" i="2"/>
  <c r="BP172" i="5" s="1"/>
  <c r="BR171" i="2"/>
  <c r="BQ172" i="5" s="1"/>
  <c r="BF172" i="2"/>
  <c r="BG172" i="2"/>
  <c r="BH172" i="2"/>
  <c r="BI172" i="2"/>
  <c r="BJ172" i="2"/>
  <c r="BK172" i="2"/>
  <c r="BL172" i="2"/>
  <c r="BM172" i="2"/>
  <c r="BN172" i="2"/>
  <c r="BO172" i="2"/>
  <c r="BP172" i="2"/>
  <c r="BQ172" i="2"/>
  <c r="BP173" i="5" s="1"/>
  <c r="BR172" i="2"/>
  <c r="BQ173" i="5" s="1"/>
  <c r="BF173" i="2"/>
  <c r="BG173" i="2"/>
  <c r="BH173" i="2"/>
  <c r="BI173" i="2"/>
  <c r="BJ173" i="2"/>
  <c r="BK173" i="2"/>
  <c r="BL173" i="2"/>
  <c r="BM173" i="2"/>
  <c r="BN173" i="2"/>
  <c r="BO173" i="2"/>
  <c r="BP173" i="2"/>
  <c r="BR173" i="2"/>
  <c r="BQ174" i="5" s="1"/>
  <c r="BF174" i="2"/>
  <c r="BG174" i="2"/>
  <c r="BH174" i="2"/>
  <c r="BQ174" i="2" s="1"/>
  <c r="BP175" i="5" s="1"/>
  <c r="BI174" i="2"/>
  <c r="BJ174" i="2"/>
  <c r="BK174" i="2"/>
  <c r="BL174" i="2"/>
  <c r="BM174" i="2"/>
  <c r="BN174" i="2"/>
  <c r="BO174" i="2"/>
  <c r="BP174" i="2"/>
  <c r="BF175" i="2"/>
  <c r="BG175" i="2"/>
  <c r="BH175" i="2"/>
  <c r="BI175" i="2"/>
  <c r="BJ175" i="2"/>
  <c r="BK175" i="2"/>
  <c r="BL175" i="2"/>
  <c r="BM175" i="2"/>
  <c r="BN175" i="2"/>
  <c r="BO175" i="2"/>
  <c r="BP175" i="2"/>
  <c r="BQ175" i="2"/>
  <c r="BP176" i="5" s="1"/>
  <c r="BF176" i="2"/>
  <c r="BG176" i="2"/>
  <c r="BH176" i="2"/>
  <c r="BI176" i="2"/>
  <c r="BJ176" i="2"/>
  <c r="BK176" i="2"/>
  <c r="BL176" i="2"/>
  <c r="BM176" i="2"/>
  <c r="BN176" i="2"/>
  <c r="BO176" i="2"/>
  <c r="BP176" i="2"/>
  <c r="BQ176" i="2"/>
  <c r="BP177" i="5" s="1"/>
  <c r="BR176" i="2"/>
  <c r="BQ177" i="5" s="1"/>
  <c r="BF177" i="2"/>
  <c r="BG177" i="2"/>
  <c r="BH177" i="2"/>
  <c r="BI177" i="2"/>
  <c r="BJ177" i="2"/>
  <c r="BK177" i="2"/>
  <c r="BL177" i="2"/>
  <c r="BM177" i="2"/>
  <c r="BN177" i="2"/>
  <c r="BO177" i="2"/>
  <c r="BP177" i="2"/>
  <c r="BQ177" i="2"/>
  <c r="BP178" i="5" s="1"/>
  <c r="BR177" i="2"/>
  <c r="BQ178" i="5" s="1"/>
  <c r="BF178" i="2"/>
  <c r="BG178" i="2"/>
  <c r="BH178" i="2"/>
  <c r="BQ178" i="2" s="1"/>
  <c r="BP179" i="5" s="1"/>
  <c r="BI178" i="2"/>
  <c r="BJ178" i="2"/>
  <c r="BK178" i="2"/>
  <c r="BR178" i="2" s="1"/>
  <c r="BQ179" i="5" s="1"/>
  <c r="BL178" i="2"/>
  <c r="BM178" i="2"/>
  <c r="BN178" i="2"/>
  <c r="BO178" i="2"/>
  <c r="BP178" i="2"/>
  <c r="BF179" i="2"/>
  <c r="BG179" i="2"/>
  <c r="BH179" i="2"/>
  <c r="BI179" i="2"/>
  <c r="BJ179" i="2"/>
  <c r="BK179" i="2"/>
  <c r="BL179" i="2"/>
  <c r="BM179" i="2"/>
  <c r="BN179" i="2"/>
  <c r="BO179" i="2"/>
  <c r="BP179" i="2"/>
  <c r="BQ179" i="2"/>
  <c r="BP180" i="5" s="1"/>
  <c r="BR179" i="2"/>
  <c r="BQ180" i="5" s="1"/>
  <c r="BF180" i="2"/>
  <c r="BG180" i="2"/>
  <c r="BH180" i="2"/>
  <c r="BI180" i="2"/>
  <c r="BJ180" i="2"/>
  <c r="BK180" i="2"/>
  <c r="BL180" i="2"/>
  <c r="BM180" i="2"/>
  <c r="BN180" i="2"/>
  <c r="BO180" i="2"/>
  <c r="BP180" i="2"/>
  <c r="BQ180" i="2"/>
  <c r="BP181" i="5" s="1"/>
  <c r="BR180" i="2"/>
  <c r="BQ181" i="5" s="1"/>
  <c r="BF181" i="2"/>
  <c r="BG181" i="2"/>
  <c r="BH181" i="2"/>
  <c r="BI181" i="2"/>
  <c r="BJ181" i="2"/>
  <c r="BK181" i="2"/>
  <c r="BL181" i="2"/>
  <c r="BM181" i="2"/>
  <c r="BN181" i="2"/>
  <c r="BO181" i="2"/>
  <c r="BP181" i="2"/>
  <c r="BR181" i="2"/>
  <c r="BQ182" i="5" s="1"/>
  <c r="BF182" i="2"/>
  <c r="BG182" i="2"/>
  <c r="BH182" i="2"/>
  <c r="BQ182" i="2" s="1"/>
  <c r="BP183" i="5" s="1"/>
  <c r="BI182" i="2"/>
  <c r="BJ182" i="2"/>
  <c r="BK182" i="2"/>
  <c r="BL182" i="2"/>
  <c r="BM182" i="2"/>
  <c r="BN182" i="2"/>
  <c r="BO182" i="2"/>
  <c r="BP182" i="2"/>
  <c r="BF183" i="2"/>
  <c r="BG183" i="2"/>
  <c r="BH183" i="2"/>
  <c r="BI183" i="2"/>
  <c r="BJ183" i="2"/>
  <c r="BK183" i="2"/>
  <c r="BL183" i="2"/>
  <c r="BM183" i="2"/>
  <c r="BN183" i="2"/>
  <c r="BO183" i="2"/>
  <c r="BP183" i="2"/>
  <c r="BQ183" i="2"/>
  <c r="BP184" i="5" s="1"/>
  <c r="BF184" i="2"/>
  <c r="BG184" i="2"/>
  <c r="BH184" i="2"/>
  <c r="BI184" i="2"/>
  <c r="BJ184" i="2"/>
  <c r="BK184" i="2"/>
  <c r="BL184" i="2"/>
  <c r="BM184" i="2"/>
  <c r="BN184" i="2"/>
  <c r="BO184" i="2"/>
  <c r="BP184" i="2"/>
  <c r="BQ184" i="2"/>
  <c r="BP185" i="5" s="1"/>
  <c r="BR184" i="2"/>
  <c r="BQ185" i="5" s="1"/>
  <c r="BF185" i="2"/>
  <c r="BG185" i="2"/>
  <c r="BH185" i="2"/>
  <c r="BI185" i="2"/>
  <c r="BJ185" i="2"/>
  <c r="BK185" i="2"/>
  <c r="BL185" i="2"/>
  <c r="BM185" i="2"/>
  <c r="BN185" i="2"/>
  <c r="BO185" i="2"/>
  <c r="BP185" i="2"/>
  <c r="BQ185" i="2"/>
  <c r="BP186" i="5" s="1"/>
  <c r="BR185" i="2"/>
  <c r="BQ186" i="5" s="1"/>
  <c r="BF186" i="2"/>
  <c r="BG186" i="2"/>
  <c r="BH186" i="2"/>
  <c r="BI186" i="2"/>
  <c r="BJ186" i="2"/>
  <c r="BK186" i="2"/>
  <c r="BR186" i="2" s="1"/>
  <c r="BQ187" i="5" s="1"/>
  <c r="BL186" i="2"/>
  <c r="BM186" i="2"/>
  <c r="BN186" i="2"/>
  <c r="BO186" i="2"/>
  <c r="BP186" i="2"/>
  <c r="BF187" i="2"/>
  <c r="BG187" i="2"/>
  <c r="BH187" i="2"/>
  <c r="BI187" i="2"/>
  <c r="BJ187" i="2"/>
  <c r="BK187" i="2"/>
  <c r="BL187" i="2"/>
  <c r="BM187" i="2"/>
  <c r="BN187" i="2"/>
  <c r="BO187" i="2"/>
  <c r="BP187" i="2"/>
  <c r="BQ187" i="2"/>
  <c r="BP188" i="5" s="1"/>
  <c r="BR187" i="2"/>
  <c r="BQ188" i="5" s="1"/>
  <c r="BF188" i="2"/>
  <c r="BG188" i="2"/>
  <c r="BH188" i="2"/>
  <c r="BI188" i="2"/>
  <c r="BJ188" i="2"/>
  <c r="BK188" i="2"/>
  <c r="BL188" i="2"/>
  <c r="BM188" i="2"/>
  <c r="BN188" i="2"/>
  <c r="BO188" i="2"/>
  <c r="BP188" i="2"/>
  <c r="BQ188" i="2"/>
  <c r="BP189" i="5" s="1"/>
  <c r="BR188" i="2"/>
  <c r="BQ189" i="5" s="1"/>
  <c r="BF189" i="2"/>
  <c r="BG189" i="2"/>
  <c r="BH189" i="2"/>
  <c r="BI189" i="2"/>
  <c r="BJ189" i="2"/>
  <c r="BK189" i="2"/>
  <c r="BL189" i="2"/>
  <c r="BM189" i="2"/>
  <c r="BN189" i="2"/>
  <c r="BO189" i="2"/>
  <c r="BP189" i="2"/>
  <c r="BR189" i="2"/>
  <c r="BQ190" i="5" s="1"/>
  <c r="BF190" i="2"/>
  <c r="BG190" i="2"/>
  <c r="BH190" i="2"/>
  <c r="BQ190" i="2" s="1"/>
  <c r="BP191" i="5" s="1"/>
  <c r="BI190" i="2"/>
  <c r="BJ190" i="2"/>
  <c r="BK190" i="2"/>
  <c r="BL190" i="2"/>
  <c r="BM190" i="2"/>
  <c r="BN190" i="2"/>
  <c r="BO190" i="2"/>
  <c r="BP190" i="2"/>
  <c r="BF191" i="2"/>
  <c r="BG191" i="2"/>
  <c r="BH191" i="2"/>
  <c r="BI191" i="2"/>
  <c r="BJ191" i="2"/>
  <c r="BK191" i="2"/>
  <c r="BL191" i="2"/>
  <c r="BM191" i="2"/>
  <c r="BN191" i="2"/>
  <c r="BO191" i="2"/>
  <c r="BP191" i="2"/>
  <c r="BQ191" i="2"/>
  <c r="BP192" i="5" s="1"/>
  <c r="BF192" i="2"/>
  <c r="BG192" i="2"/>
  <c r="BH192" i="2"/>
  <c r="BI192" i="2"/>
  <c r="BJ192" i="2"/>
  <c r="BK192" i="2"/>
  <c r="BL192" i="2"/>
  <c r="BM192" i="2"/>
  <c r="BN192" i="2"/>
  <c r="BO192" i="2"/>
  <c r="BP192" i="2"/>
  <c r="BQ192" i="2"/>
  <c r="BP193" i="5" s="1"/>
  <c r="BR192" i="2"/>
  <c r="BQ193" i="5" s="1"/>
  <c r="K2" i="8"/>
  <c r="K3" i="8"/>
  <c r="K4" i="8"/>
  <c r="K5" i="8"/>
  <c r="K6" i="8"/>
  <c r="K7" i="8"/>
  <c r="K8" i="8"/>
  <c r="K9" i="8"/>
  <c r="K10" i="8"/>
  <c r="K11" i="8"/>
  <c r="K12" i="8"/>
  <c r="K13" i="8"/>
  <c r="K14" i="8"/>
  <c r="K15" i="8"/>
  <c r="K16" i="8"/>
  <c r="K17" i="8"/>
  <c r="K18" i="8"/>
  <c r="K19" i="8"/>
  <c r="K20" i="8"/>
  <c r="K21" i="8"/>
  <c r="K22" i="8"/>
  <c r="K23" i="8"/>
  <c r="K24" i="8"/>
  <c r="K25" i="8"/>
  <c r="K26" i="8"/>
  <c r="K27" i="8"/>
  <c r="K28" i="8"/>
  <c r="K29" i="8"/>
  <c r="K30" i="8"/>
  <c r="K31" i="8"/>
  <c r="K32" i="8"/>
  <c r="K33" i="8"/>
  <c r="K34" i="8"/>
  <c r="K35" i="8"/>
  <c r="K36" i="8"/>
  <c r="K37" i="8"/>
  <c r="K38" i="8"/>
  <c r="K39" i="8"/>
  <c r="K40" i="8"/>
  <c r="K41" i="8"/>
  <c r="BP62" i="2" s="1"/>
  <c r="BO63" i="5" s="1"/>
  <c r="K42" i="8"/>
  <c r="BP63" i="2" s="1"/>
  <c r="BO64" i="5" s="1"/>
  <c r="K43" i="8"/>
  <c r="K44" i="8"/>
  <c r="K45" i="8"/>
  <c r="K46" i="8"/>
  <c r="K47" i="8"/>
  <c r="K48" i="8"/>
  <c r="K49" i="8"/>
  <c r="K50" i="8"/>
  <c r="K51" i="8"/>
  <c r="K52" i="8"/>
  <c r="K53" i="8"/>
  <c r="K54" i="8"/>
  <c r="K55" i="8"/>
  <c r="K56" i="8"/>
  <c r="K57" i="8"/>
  <c r="K58" i="8"/>
  <c r="K59" i="8"/>
  <c r="K60" i="8"/>
  <c r="K61" i="8"/>
  <c r="K62" i="8"/>
  <c r="K63" i="8"/>
  <c r="K64" i="8"/>
  <c r="K65" i="8"/>
  <c r="K66" i="8"/>
  <c r="K67" i="8"/>
  <c r="K68" i="8"/>
  <c r="K69" i="8"/>
  <c r="K70" i="8"/>
  <c r="K71" i="8"/>
  <c r="K72" i="8"/>
  <c r="K73" i="8"/>
  <c r="K74" i="8"/>
  <c r="K75" i="8"/>
  <c r="K76" i="8"/>
  <c r="K77" i="8"/>
  <c r="K78" i="8"/>
  <c r="K79" i="8"/>
  <c r="K80" i="8"/>
  <c r="K81" i="8"/>
  <c r="K82" i="8"/>
  <c r="K83" i="8"/>
  <c r="BP104" i="2" s="1"/>
  <c r="BO105" i="5" s="1"/>
  <c r="K84" i="8"/>
  <c r="BP105" i="2" s="1"/>
  <c r="BO106" i="5" s="1"/>
  <c r="K85" i="8"/>
  <c r="BP106" i="2" s="1"/>
  <c r="BO107" i="5" s="1"/>
  <c r="K86" i="8"/>
  <c r="BP107" i="2" s="1"/>
  <c r="BO108" i="5" s="1"/>
  <c r="K87" i="8"/>
  <c r="K88" i="8"/>
  <c r="K89" i="8"/>
  <c r="K90" i="8"/>
  <c r="K91" i="8"/>
  <c r="K92" i="8"/>
  <c r="K93" i="8"/>
  <c r="K94" i="8"/>
  <c r="K95" i="8"/>
  <c r="K96" i="8"/>
  <c r="K97" i="8"/>
  <c r="K98" i="8"/>
  <c r="K99" i="8"/>
  <c r="K100" i="8"/>
  <c r="K101" i="8"/>
  <c r="K102" i="8"/>
  <c r="K103" i="8"/>
  <c r="K104" i="8"/>
  <c r="K105" i="8"/>
  <c r="K106" i="8"/>
  <c r="K107" i="8"/>
  <c r="K108" i="8"/>
  <c r="K109" i="8"/>
  <c r="K110" i="8"/>
  <c r="K111" i="8"/>
  <c r="K112" i="8"/>
  <c r="K113" i="8"/>
  <c r="K114" i="8"/>
  <c r="K115" i="8"/>
  <c r="K116" i="8"/>
  <c r="K117" i="8"/>
  <c r="K118" i="8"/>
  <c r="K119" i="8"/>
  <c r="K120" i="8"/>
  <c r="K121" i="8"/>
  <c r="K122" i="8"/>
  <c r="K123" i="8"/>
  <c r="K124" i="8"/>
  <c r="K125" i="8"/>
  <c r="K126" i="8"/>
  <c r="K127" i="8"/>
  <c r="K128" i="8"/>
  <c r="K129" i="8"/>
  <c r="K130" i="8"/>
  <c r="K131" i="8"/>
  <c r="K132" i="8"/>
  <c r="K133" i="8"/>
  <c r="K134" i="8"/>
  <c r="K135" i="8"/>
  <c r="K136" i="8"/>
  <c r="K137" i="8"/>
  <c r="K138" i="8"/>
  <c r="K139" i="8"/>
  <c r="K140" i="8"/>
  <c r="K141" i="8"/>
  <c r="K142" i="8"/>
  <c r="K143" i="8"/>
  <c r="K144" i="8"/>
  <c r="K145" i="8"/>
  <c r="K146" i="8"/>
  <c r="K147" i="8"/>
  <c r="K148" i="8"/>
  <c r="K149" i="8"/>
  <c r="K150" i="8"/>
  <c r="K151" i="8"/>
  <c r="K152" i="8"/>
  <c r="K153" i="8"/>
  <c r="K154" i="8"/>
  <c r="K155" i="8"/>
  <c r="K156" i="8"/>
  <c r="K157" i="8"/>
  <c r="K158" i="8"/>
  <c r="K159" i="8"/>
  <c r="K160" i="8"/>
  <c r="K161" i="8"/>
  <c r="K162" i="8"/>
  <c r="K163" i="8"/>
  <c r="K164" i="8"/>
  <c r="K165" i="8"/>
  <c r="K166" i="8"/>
  <c r="K167" i="8"/>
  <c r="K168" i="8"/>
  <c r="L2" i="8"/>
  <c r="L3" i="8"/>
  <c r="L4" i="8"/>
  <c r="L5" i="8"/>
  <c r="L6" i="8"/>
  <c r="L7" i="8"/>
  <c r="L8" i="8"/>
  <c r="L9" i="8"/>
  <c r="L10" i="8"/>
  <c r="L11" i="8"/>
  <c r="L12" i="8"/>
  <c r="L13" i="8"/>
  <c r="L14" i="8"/>
  <c r="L15" i="8"/>
  <c r="L16" i="8"/>
  <c r="L17" i="8"/>
  <c r="L18" i="8"/>
  <c r="L19" i="8"/>
  <c r="L20" i="8"/>
  <c r="L21" i="8"/>
  <c r="L22" i="8"/>
  <c r="L23" i="8"/>
  <c r="L24" i="8"/>
  <c r="L25" i="8"/>
  <c r="L26" i="8"/>
  <c r="L27" i="8"/>
  <c r="L28" i="8"/>
  <c r="L29" i="8"/>
  <c r="L30" i="8"/>
  <c r="L31" i="8"/>
  <c r="L32" i="8"/>
  <c r="L33" i="8"/>
  <c r="L34" i="8"/>
  <c r="L35" i="8"/>
  <c r="L36" i="8"/>
  <c r="L37" i="8"/>
  <c r="L38" i="8"/>
  <c r="L39" i="8"/>
  <c r="L40" i="8"/>
  <c r="L41" i="8"/>
  <c r="L42" i="8"/>
  <c r="L43" i="8"/>
  <c r="L44" i="8"/>
  <c r="L45" i="8"/>
  <c r="L46" i="8"/>
  <c r="L47" i="8"/>
  <c r="L48" i="8"/>
  <c r="L49" i="8"/>
  <c r="L50" i="8"/>
  <c r="L51" i="8"/>
  <c r="L52" i="8"/>
  <c r="L53" i="8"/>
  <c r="L54" i="8"/>
  <c r="L55" i="8"/>
  <c r="L56" i="8"/>
  <c r="L57" i="8"/>
  <c r="L58" i="8"/>
  <c r="L59" i="8"/>
  <c r="L60" i="8"/>
  <c r="L61" i="8"/>
  <c r="L62" i="8"/>
  <c r="L63" i="8"/>
  <c r="L64" i="8"/>
  <c r="L65" i="8"/>
  <c r="L66" i="8"/>
  <c r="L67" i="8"/>
  <c r="L68" i="8"/>
  <c r="L69" i="8"/>
  <c r="L70" i="8"/>
  <c r="L71" i="8"/>
  <c r="L72" i="8"/>
  <c r="L73" i="8"/>
  <c r="L74" i="8"/>
  <c r="L75" i="8"/>
  <c r="L76" i="8"/>
  <c r="L77" i="8"/>
  <c r="L78" i="8"/>
  <c r="L79" i="8"/>
  <c r="L80" i="8"/>
  <c r="L81" i="8"/>
  <c r="L82" i="8"/>
  <c r="L83" i="8"/>
  <c r="L84" i="8"/>
  <c r="L85" i="8"/>
  <c r="L86" i="8"/>
  <c r="L87" i="8"/>
  <c r="L88" i="8"/>
  <c r="L89" i="8"/>
  <c r="L90" i="8"/>
  <c r="L91" i="8"/>
  <c r="L92" i="8"/>
  <c r="L93" i="8"/>
  <c r="L94" i="8"/>
  <c r="L95" i="8"/>
  <c r="L96" i="8"/>
  <c r="L97" i="8"/>
  <c r="L98" i="8"/>
  <c r="L99" i="8"/>
  <c r="L100" i="8"/>
  <c r="L101" i="8"/>
  <c r="L102" i="8"/>
  <c r="L103" i="8"/>
  <c r="L104" i="8"/>
  <c r="L105" i="8"/>
  <c r="L106" i="8"/>
  <c r="L107" i="8"/>
  <c r="L108" i="8"/>
  <c r="L109" i="8"/>
  <c r="L110" i="8"/>
  <c r="L111" i="8"/>
  <c r="L112" i="8"/>
  <c r="L113" i="8"/>
  <c r="L114" i="8"/>
  <c r="L115" i="8"/>
  <c r="L116" i="8"/>
  <c r="L117" i="8"/>
  <c r="L118" i="8"/>
  <c r="L119" i="8"/>
  <c r="L120" i="8"/>
  <c r="L121" i="8"/>
  <c r="L122" i="8"/>
  <c r="L123" i="8"/>
  <c r="L124" i="8"/>
  <c r="L125" i="8"/>
  <c r="L126" i="8"/>
  <c r="L127" i="8"/>
  <c r="L128" i="8"/>
  <c r="L129" i="8"/>
  <c r="L130" i="8"/>
  <c r="L131" i="8"/>
  <c r="L132" i="8"/>
  <c r="L133" i="8"/>
  <c r="L134" i="8"/>
  <c r="L135" i="8"/>
  <c r="L136" i="8"/>
  <c r="L137" i="8"/>
  <c r="L138" i="8"/>
  <c r="L139" i="8"/>
  <c r="L140" i="8"/>
  <c r="L141" i="8"/>
  <c r="L142" i="8"/>
  <c r="L143" i="8"/>
  <c r="L144" i="8"/>
  <c r="L145" i="8"/>
  <c r="L146" i="8"/>
  <c r="L147" i="8"/>
  <c r="L148" i="8"/>
  <c r="L149" i="8"/>
  <c r="L150" i="8"/>
  <c r="L151" i="8"/>
  <c r="L152" i="8"/>
  <c r="L153" i="8"/>
  <c r="L154" i="8"/>
  <c r="L155" i="8"/>
  <c r="L156" i="8"/>
  <c r="L157" i="8"/>
  <c r="L158" i="8"/>
  <c r="L159" i="8"/>
  <c r="L160" i="8"/>
  <c r="L161" i="8"/>
  <c r="L162" i="8"/>
  <c r="L163" i="8"/>
  <c r="L164" i="8"/>
  <c r="L165" i="8"/>
  <c r="L166" i="8"/>
  <c r="L167" i="8"/>
  <c r="L168" i="8"/>
  <c r="BF24" i="2"/>
  <c r="BG24" i="2"/>
  <c r="BH24" i="2"/>
  <c r="BI24" i="2"/>
  <c r="BJ24" i="2"/>
  <c r="BK24" i="2"/>
  <c r="BR24" i="2" s="1"/>
  <c r="BL24" i="2"/>
  <c r="BM24" i="2"/>
  <c r="BN24" i="2"/>
  <c r="BO24" i="2"/>
  <c r="BP24" i="2"/>
  <c r="BE181" i="2"/>
  <c r="BE189" i="2"/>
  <c r="BD192" i="5" l="1"/>
  <c r="BC191" i="5"/>
  <c r="BD184" i="5"/>
  <c r="BC184" i="5" s="1"/>
  <c r="BC183" i="5"/>
  <c r="AH20" i="5"/>
  <c r="BR174" i="2"/>
  <c r="BQ175" i="5" s="1"/>
  <c r="BR158" i="2"/>
  <c r="BQ159" i="5" s="1"/>
  <c r="BR94" i="2"/>
  <c r="BQ95" i="5" s="1"/>
  <c r="BR79" i="2"/>
  <c r="BQ80" i="5" s="1"/>
  <c r="BQ63" i="5"/>
  <c r="BQ26" i="2"/>
  <c r="BQ181" i="2"/>
  <c r="BP182" i="5" s="1"/>
  <c r="BQ165" i="2"/>
  <c r="BP166" i="5" s="1"/>
  <c r="BQ149" i="2"/>
  <c r="BP150" i="5" s="1"/>
  <c r="BQ133" i="2"/>
  <c r="BP134" i="5" s="1"/>
  <c r="BQ117" i="2"/>
  <c r="BP118" i="5" s="1"/>
  <c r="BQ101" i="2"/>
  <c r="BP102" i="5" s="1"/>
  <c r="BQ82" i="2"/>
  <c r="BP83" i="5" s="1"/>
  <c r="BR67" i="2"/>
  <c r="BQ68" i="5" s="1"/>
  <c r="BR51" i="2"/>
  <c r="BQ52" i="5" s="1"/>
  <c r="BR30" i="2"/>
  <c r="BR190" i="2"/>
  <c r="BQ191" i="5" s="1"/>
  <c r="BR142" i="2"/>
  <c r="BQ143" i="5" s="1"/>
  <c r="BR126" i="2"/>
  <c r="BQ127" i="5" s="1"/>
  <c r="BR110" i="2"/>
  <c r="BQ111" i="5" s="1"/>
  <c r="BR46" i="2"/>
  <c r="BQ47" i="5" s="1"/>
  <c r="BR182" i="2"/>
  <c r="BQ183" i="5" s="1"/>
  <c r="BR166" i="2"/>
  <c r="BQ167" i="5" s="1"/>
  <c r="BR150" i="2"/>
  <c r="BQ151" i="5" s="1"/>
  <c r="BR134" i="2"/>
  <c r="BQ135" i="5" s="1"/>
  <c r="BR118" i="2"/>
  <c r="BQ119" i="5" s="1"/>
  <c r="BR102" i="2"/>
  <c r="BQ103" i="5" s="1"/>
  <c r="BR87" i="2"/>
  <c r="BQ88" i="5" s="1"/>
  <c r="BQ73" i="2"/>
  <c r="BP74" i="5" s="1"/>
  <c r="BQ57" i="2"/>
  <c r="BP58" i="5" s="1"/>
  <c r="BQ36" i="5"/>
  <c r="BQ189" i="2"/>
  <c r="BP190" i="5" s="1"/>
  <c r="BQ173" i="2"/>
  <c r="BP174" i="5" s="1"/>
  <c r="BQ157" i="2"/>
  <c r="BP158" i="5" s="1"/>
  <c r="BQ141" i="2"/>
  <c r="BP142" i="5" s="1"/>
  <c r="BQ125" i="2"/>
  <c r="BP126" i="5" s="1"/>
  <c r="BQ109" i="2"/>
  <c r="BP110" i="5" s="1"/>
  <c r="BQ93" i="2"/>
  <c r="BP94" i="5" s="1"/>
  <c r="BQ74" i="2"/>
  <c r="BP75" i="5" s="1"/>
  <c r="BQ58" i="2"/>
  <c r="BP59" i="5" s="1"/>
  <c r="BQ45" i="2"/>
  <c r="BP46" i="5" s="1"/>
  <c r="BQ42" i="2"/>
  <c r="BP43" i="5" s="1"/>
  <c r="BQ186" i="2"/>
  <c r="BP187" i="5" s="1"/>
  <c r="BR191" i="2"/>
  <c r="BQ192" i="5" s="1"/>
  <c r="BR183" i="2"/>
  <c r="BQ184" i="5" s="1"/>
  <c r="BR175" i="2"/>
  <c r="BQ176" i="5" s="1"/>
  <c r="BR170" i="2"/>
  <c r="BQ171" i="5" s="1"/>
  <c r="BR167" i="2"/>
  <c r="BQ168" i="5" s="1"/>
  <c r="BQ64" i="5"/>
  <c r="BR47" i="2"/>
  <c r="BQ48" i="5" s="1"/>
  <c r="BE184" i="2"/>
  <c r="BD184" i="2" s="1"/>
  <c r="BE190" i="2"/>
  <c r="BD189" i="2"/>
  <c r="BE182" i="2"/>
  <c r="BD181" i="2"/>
  <c r="BE185" i="2"/>
  <c r="BQ24" i="2"/>
  <c r="BD193" i="5" l="1"/>
  <c r="BC193" i="5" s="1"/>
  <c r="BC192" i="5"/>
  <c r="BE183" i="2"/>
  <c r="BD183" i="2" s="1"/>
  <c r="BD182" i="2"/>
  <c r="BE186" i="2"/>
  <c r="BD185" i="2"/>
  <c r="BE191" i="2"/>
  <c r="BD190" i="2"/>
  <c r="BE187" i="2" l="1"/>
  <c r="BD186" i="2"/>
  <c r="BE192" i="2"/>
  <c r="BD192" i="2" s="1"/>
  <c r="BD191" i="2"/>
  <c r="BD187" i="2" l="1"/>
  <c r="BE188" i="2"/>
  <c r="BD188" i="2" s="1"/>
  <c r="BR24" i="5" l="1"/>
  <c r="F11" i="6"/>
  <c r="L6" i="6"/>
  <c r="AG5" i="2" l="1"/>
  <c r="AH5" i="2" s="1"/>
  <c r="F21" i="5"/>
  <c r="G21" i="5"/>
  <c r="H21" i="5"/>
  <c r="I21" i="5"/>
  <c r="J21" i="5"/>
  <c r="K21" i="5"/>
  <c r="L21" i="5"/>
  <c r="M21" i="5"/>
  <c r="D18" i="5"/>
  <c r="F38" i="5" l="1"/>
  <c r="G38" i="5"/>
  <c r="H38" i="5"/>
  <c r="I38" i="5"/>
  <c r="J38" i="5"/>
  <c r="K38" i="5"/>
  <c r="L38" i="5"/>
  <c r="M38" i="5"/>
  <c r="F39" i="5"/>
  <c r="G39" i="5"/>
  <c r="H39" i="5"/>
  <c r="I39" i="5"/>
  <c r="J39" i="5"/>
  <c r="K39" i="5"/>
  <c r="L39" i="5"/>
  <c r="M39" i="5"/>
  <c r="F40" i="5"/>
  <c r="G40" i="5"/>
  <c r="H40" i="5"/>
  <c r="I40" i="5"/>
  <c r="J40" i="5"/>
  <c r="K40" i="5"/>
  <c r="L40" i="5"/>
  <c r="M40" i="5"/>
  <c r="F41" i="5"/>
  <c r="G41" i="5"/>
  <c r="H41" i="5"/>
  <c r="I41" i="5"/>
  <c r="J41" i="5"/>
  <c r="K41" i="5"/>
  <c r="L41" i="5"/>
  <c r="M41" i="5"/>
  <c r="F42" i="5"/>
  <c r="G42" i="5"/>
  <c r="H42" i="5"/>
  <c r="I42" i="5"/>
  <c r="J42" i="5"/>
  <c r="K42" i="5"/>
  <c r="L42" i="5"/>
  <c r="M42" i="5"/>
  <c r="F43" i="5"/>
  <c r="G43" i="5"/>
  <c r="H43" i="5"/>
  <c r="I43" i="5"/>
  <c r="J43" i="5"/>
  <c r="K43" i="5"/>
  <c r="L43" i="5"/>
  <c r="M43" i="5"/>
  <c r="F44" i="5"/>
  <c r="G44" i="5"/>
  <c r="H44" i="5"/>
  <c r="I44" i="5"/>
  <c r="J44" i="5"/>
  <c r="K44" i="5"/>
  <c r="L44" i="5"/>
  <c r="M44" i="5"/>
  <c r="F45" i="5"/>
  <c r="G45" i="5"/>
  <c r="H45" i="5"/>
  <c r="I45" i="5"/>
  <c r="J45" i="5"/>
  <c r="K45" i="5"/>
  <c r="L45" i="5"/>
  <c r="M45" i="5"/>
  <c r="F46" i="5"/>
  <c r="G46" i="5"/>
  <c r="H46" i="5"/>
  <c r="I46" i="5"/>
  <c r="J46" i="5"/>
  <c r="K46" i="5"/>
  <c r="L46" i="5"/>
  <c r="M46" i="5"/>
  <c r="F47" i="5"/>
  <c r="G47" i="5"/>
  <c r="H47" i="5"/>
  <c r="I47" i="5"/>
  <c r="J47" i="5"/>
  <c r="K47" i="5"/>
  <c r="L47" i="5"/>
  <c r="M47" i="5"/>
  <c r="F48" i="5"/>
  <c r="G48" i="5"/>
  <c r="H48" i="5"/>
  <c r="I48" i="5"/>
  <c r="J48" i="5"/>
  <c r="K48" i="5"/>
  <c r="L48" i="5"/>
  <c r="M48" i="5"/>
  <c r="F49" i="5"/>
  <c r="G49" i="5"/>
  <c r="H49" i="5"/>
  <c r="I49" i="5"/>
  <c r="J49" i="5"/>
  <c r="K49" i="5"/>
  <c r="L49" i="5"/>
  <c r="M49" i="5"/>
  <c r="F50" i="5"/>
  <c r="G50" i="5"/>
  <c r="H50" i="5"/>
  <c r="I50" i="5"/>
  <c r="J50" i="5"/>
  <c r="K50" i="5"/>
  <c r="L50" i="5"/>
  <c r="M50" i="5"/>
  <c r="F51" i="5"/>
  <c r="G51" i="5"/>
  <c r="H51" i="5"/>
  <c r="I51" i="5"/>
  <c r="J51" i="5"/>
  <c r="K51" i="5"/>
  <c r="L51" i="5"/>
  <c r="M51" i="5"/>
  <c r="F52" i="5"/>
  <c r="G52" i="5"/>
  <c r="H52" i="5"/>
  <c r="I52" i="5"/>
  <c r="J52" i="5"/>
  <c r="K52" i="5"/>
  <c r="L52" i="5"/>
  <c r="M52" i="5"/>
  <c r="F53" i="5"/>
  <c r="G53" i="5"/>
  <c r="H53" i="5"/>
  <c r="I53" i="5"/>
  <c r="J53" i="5"/>
  <c r="K53" i="5"/>
  <c r="L53" i="5"/>
  <c r="M53" i="5"/>
  <c r="F54" i="5"/>
  <c r="G54" i="5"/>
  <c r="H54" i="5"/>
  <c r="I54" i="5"/>
  <c r="J54" i="5"/>
  <c r="K54" i="5"/>
  <c r="L54" i="5"/>
  <c r="M54" i="5"/>
  <c r="F55" i="5"/>
  <c r="G55" i="5"/>
  <c r="H55" i="5"/>
  <c r="I55" i="5"/>
  <c r="J55" i="5"/>
  <c r="K55" i="5"/>
  <c r="L55" i="5"/>
  <c r="M55" i="5"/>
  <c r="F56" i="5"/>
  <c r="G56" i="5"/>
  <c r="H56" i="5"/>
  <c r="I56" i="5"/>
  <c r="J56" i="5"/>
  <c r="K56" i="5"/>
  <c r="L56" i="5"/>
  <c r="M56" i="5"/>
  <c r="F57" i="5"/>
  <c r="G57" i="5"/>
  <c r="H57" i="5"/>
  <c r="I57" i="5"/>
  <c r="J57" i="5"/>
  <c r="K57" i="5"/>
  <c r="L57" i="5"/>
  <c r="M57" i="5"/>
  <c r="F58" i="5"/>
  <c r="G58" i="5"/>
  <c r="H58" i="5"/>
  <c r="I58" i="5"/>
  <c r="J58" i="5"/>
  <c r="K58" i="5"/>
  <c r="L58" i="5"/>
  <c r="M58" i="5"/>
  <c r="F59" i="5"/>
  <c r="G59" i="5"/>
  <c r="H59" i="5"/>
  <c r="I59" i="5"/>
  <c r="J59" i="5"/>
  <c r="K59" i="5"/>
  <c r="L59" i="5"/>
  <c r="M59" i="5"/>
  <c r="F60" i="5"/>
  <c r="G60" i="5"/>
  <c r="H60" i="5"/>
  <c r="I60" i="5"/>
  <c r="J60" i="5"/>
  <c r="K60" i="5"/>
  <c r="L60" i="5"/>
  <c r="M60" i="5"/>
  <c r="F61" i="5"/>
  <c r="G61" i="5"/>
  <c r="H61" i="5"/>
  <c r="I61" i="5"/>
  <c r="J61" i="5"/>
  <c r="K61" i="5"/>
  <c r="L61" i="5"/>
  <c r="M61" i="5"/>
  <c r="F62" i="5"/>
  <c r="G62" i="5"/>
  <c r="H62" i="5"/>
  <c r="I62" i="5"/>
  <c r="J62" i="5"/>
  <c r="K62" i="5"/>
  <c r="L62" i="5"/>
  <c r="M62" i="5"/>
  <c r="F63" i="5"/>
  <c r="G63" i="5"/>
  <c r="H63" i="5"/>
  <c r="I63" i="5"/>
  <c r="J63" i="5"/>
  <c r="K63" i="5"/>
  <c r="L63" i="5"/>
  <c r="M63" i="5"/>
  <c r="F64" i="5"/>
  <c r="G64" i="5"/>
  <c r="H64" i="5"/>
  <c r="I64" i="5"/>
  <c r="J64" i="5"/>
  <c r="K64" i="5"/>
  <c r="L64" i="5"/>
  <c r="M64" i="5"/>
  <c r="F65" i="5"/>
  <c r="G65" i="5"/>
  <c r="H65" i="5"/>
  <c r="I65" i="5"/>
  <c r="J65" i="5"/>
  <c r="K65" i="5"/>
  <c r="L65" i="5"/>
  <c r="M65" i="5"/>
  <c r="F66" i="5"/>
  <c r="G66" i="5"/>
  <c r="H66" i="5"/>
  <c r="I66" i="5"/>
  <c r="J66" i="5"/>
  <c r="K66" i="5"/>
  <c r="L66" i="5"/>
  <c r="M66" i="5"/>
  <c r="F67" i="5"/>
  <c r="G67" i="5"/>
  <c r="H67" i="5"/>
  <c r="I67" i="5"/>
  <c r="J67" i="5"/>
  <c r="K67" i="5"/>
  <c r="L67" i="5"/>
  <c r="M67" i="5"/>
  <c r="F68" i="5"/>
  <c r="G68" i="5"/>
  <c r="H68" i="5"/>
  <c r="I68" i="5"/>
  <c r="J68" i="5"/>
  <c r="K68" i="5"/>
  <c r="L68" i="5"/>
  <c r="M68" i="5"/>
  <c r="F69" i="5"/>
  <c r="G69" i="5"/>
  <c r="H69" i="5"/>
  <c r="I69" i="5"/>
  <c r="J69" i="5"/>
  <c r="K69" i="5"/>
  <c r="L69" i="5"/>
  <c r="M69" i="5"/>
  <c r="F70" i="5"/>
  <c r="G70" i="5"/>
  <c r="H70" i="5"/>
  <c r="I70" i="5"/>
  <c r="J70" i="5"/>
  <c r="K70" i="5"/>
  <c r="L70" i="5"/>
  <c r="M70" i="5"/>
  <c r="F71" i="5"/>
  <c r="G71" i="5"/>
  <c r="H71" i="5"/>
  <c r="I71" i="5"/>
  <c r="J71" i="5"/>
  <c r="K71" i="5"/>
  <c r="L71" i="5"/>
  <c r="M71" i="5"/>
  <c r="F72" i="5"/>
  <c r="G72" i="5"/>
  <c r="H72" i="5"/>
  <c r="I72" i="5"/>
  <c r="J72" i="5"/>
  <c r="K72" i="5"/>
  <c r="L72" i="5"/>
  <c r="M72" i="5"/>
  <c r="F73" i="5"/>
  <c r="G73" i="5"/>
  <c r="H73" i="5"/>
  <c r="I73" i="5"/>
  <c r="J73" i="5"/>
  <c r="K73" i="5"/>
  <c r="L73" i="5"/>
  <c r="M73" i="5"/>
  <c r="F74" i="5"/>
  <c r="G74" i="5"/>
  <c r="H74" i="5"/>
  <c r="I74" i="5"/>
  <c r="J74" i="5"/>
  <c r="K74" i="5"/>
  <c r="L74" i="5"/>
  <c r="M74" i="5"/>
  <c r="F75" i="5"/>
  <c r="G75" i="5"/>
  <c r="H75" i="5"/>
  <c r="I75" i="5"/>
  <c r="J75" i="5"/>
  <c r="K75" i="5"/>
  <c r="L75" i="5"/>
  <c r="M75" i="5"/>
  <c r="F76" i="5"/>
  <c r="G76" i="5"/>
  <c r="H76" i="5"/>
  <c r="I76" i="5"/>
  <c r="J76" i="5"/>
  <c r="K76" i="5"/>
  <c r="L76" i="5"/>
  <c r="M76" i="5"/>
  <c r="F77" i="5"/>
  <c r="G77" i="5"/>
  <c r="H77" i="5"/>
  <c r="I77" i="5"/>
  <c r="J77" i="5"/>
  <c r="K77" i="5"/>
  <c r="L77" i="5"/>
  <c r="M77" i="5"/>
  <c r="F78" i="5"/>
  <c r="G78" i="5"/>
  <c r="H78" i="5"/>
  <c r="I78" i="5"/>
  <c r="J78" i="5"/>
  <c r="K78" i="5"/>
  <c r="L78" i="5"/>
  <c r="M78" i="5"/>
  <c r="F79" i="5"/>
  <c r="G79" i="5"/>
  <c r="H79" i="5"/>
  <c r="I79" i="5"/>
  <c r="J79" i="5"/>
  <c r="K79" i="5"/>
  <c r="L79" i="5"/>
  <c r="M79" i="5"/>
  <c r="F80" i="5"/>
  <c r="G80" i="5"/>
  <c r="H80" i="5"/>
  <c r="I80" i="5"/>
  <c r="J80" i="5"/>
  <c r="K80" i="5"/>
  <c r="L80" i="5"/>
  <c r="M80" i="5"/>
  <c r="F81" i="5"/>
  <c r="G81" i="5"/>
  <c r="H81" i="5"/>
  <c r="I81" i="5"/>
  <c r="J81" i="5"/>
  <c r="K81" i="5"/>
  <c r="L81" i="5"/>
  <c r="M81" i="5"/>
  <c r="F82" i="5"/>
  <c r="G82" i="5"/>
  <c r="H82" i="5"/>
  <c r="I82" i="5"/>
  <c r="J82" i="5"/>
  <c r="K82" i="5"/>
  <c r="L82" i="5"/>
  <c r="M82" i="5"/>
  <c r="F83" i="5"/>
  <c r="G83" i="5"/>
  <c r="H83" i="5"/>
  <c r="I83" i="5"/>
  <c r="J83" i="5"/>
  <c r="K83" i="5"/>
  <c r="L83" i="5"/>
  <c r="M83" i="5"/>
  <c r="F84" i="5"/>
  <c r="G84" i="5"/>
  <c r="H84" i="5"/>
  <c r="I84" i="5"/>
  <c r="J84" i="5"/>
  <c r="K84" i="5"/>
  <c r="L84" i="5"/>
  <c r="M84" i="5"/>
  <c r="F85" i="5"/>
  <c r="G85" i="5"/>
  <c r="H85" i="5"/>
  <c r="I85" i="5"/>
  <c r="J85" i="5"/>
  <c r="K85" i="5"/>
  <c r="L85" i="5"/>
  <c r="M85" i="5"/>
  <c r="F86" i="5"/>
  <c r="G86" i="5"/>
  <c r="H86" i="5"/>
  <c r="I86" i="5"/>
  <c r="J86" i="5"/>
  <c r="K86" i="5"/>
  <c r="L86" i="5"/>
  <c r="M86" i="5"/>
  <c r="F87" i="5"/>
  <c r="G87" i="5"/>
  <c r="H87" i="5"/>
  <c r="I87" i="5"/>
  <c r="J87" i="5"/>
  <c r="K87" i="5"/>
  <c r="L87" i="5"/>
  <c r="M87" i="5"/>
  <c r="F88" i="5"/>
  <c r="G88" i="5"/>
  <c r="H88" i="5"/>
  <c r="I88" i="5"/>
  <c r="J88" i="5"/>
  <c r="K88" i="5"/>
  <c r="L88" i="5"/>
  <c r="M88" i="5"/>
  <c r="F89" i="5"/>
  <c r="G89" i="5"/>
  <c r="H89" i="5"/>
  <c r="I89" i="5"/>
  <c r="J89" i="5"/>
  <c r="K89" i="5"/>
  <c r="L89" i="5"/>
  <c r="M89" i="5"/>
  <c r="F90" i="5"/>
  <c r="G90" i="5"/>
  <c r="H90" i="5"/>
  <c r="I90" i="5"/>
  <c r="J90" i="5"/>
  <c r="K90" i="5"/>
  <c r="L90" i="5"/>
  <c r="M90" i="5"/>
  <c r="F91" i="5"/>
  <c r="G91" i="5"/>
  <c r="H91" i="5"/>
  <c r="I91" i="5"/>
  <c r="J91" i="5"/>
  <c r="K91" i="5"/>
  <c r="L91" i="5"/>
  <c r="M91" i="5"/>
  <c r="F92" i="5"/>
  <c r="G92" i="5"/>
  <c r="H92" i="5"/>
  <c r="I92" i="5"/>
  <c r="J92" i="5"/>
  <c r="K92" i="5"/>
  <c r="L92" i="5"/>
  <c r="M92" i="5"/>
  <c r="F93" i="5"/>
  <c r="G93" i="5"/>
  <c r="H93" i="5"/>
  <c r="I93" i="5"/>
  <c r="J93" i="5"/>
  <c r="K93" i="5"/>
  <c r="L93" i="5"/>
  <c r="M93" i="5"/>
  <c r="F94" i="5"/>
  <c r="G94" i="5"/>
  <c r="H94" i="5"/>
  <c r="I94" i="5"/>
  <c r="J94" i="5"/>
  <c r="K94" i="5"/>
  <c r="L94" i="5"/>
  <c r="M94" i="5"/>
  <c r="F95" i="5"/>
  <c r="G95" i="5"/>
  <c r="H95" i="5"/>
  <c r="I95" i="5"/>
  <c r="J95" i="5"/>
  <c r="K95" i="5"/>
  <c r="L95" i="5"/>
  <c r="M95" i="5"/>
  <c r="F96" i="5"/>
  <c r="G96" i="5"/>
  <c r="H96" i="5"/>
  <c r="I96" i="5"/>
  <c r="J96" i="5"/>
  <c r="K96" i="5"/>
  <c r="L96" i="5"/>
  <c r="M96" i="5"/>
  <c r="F97" i="5"/>
  <c r="G97" i="5"/>
  <c r="H97" i="5"/>
  <c r="I97" i="5"/>
  <c r="J97" i="5"/>
  <c r="K97" i="5"/>
  <c r="L97" i="5"/>
  <c r="M97" i="5"/>
  <c r="F98" i="5"/>
  <c r="G98" i="5"/>
  <c r="H98" i="5"/>
  <c r="I98" i="5"/>
  <c r="J98" i="5"/>
  <c r="K98" i="5"/>
  <c r="L98" i="5"/>
  <c r="M98" i="5"/>
  <c r="F99" i="5"/>
  <c r="G99" i="5"/>
  <c r="H99" i="5"/>
  <c r="I99" i="5"/>
  <c r="J99" i="5"/>
  <c r="K99" i="5"/>
  <c r="L99" i="5"/>
  <c r="M99" i="5"/>
  <c r="F100" i="5"/>
  <c r="G100" i="5"/>
  <c r="H100" i="5"/>
  <c r="I100" i="5"/>
  <c r="J100" i="5"/>
  <c r="K100" i="5"/>
  <c r="L100" i="5"/>
  <c r="M100" i="5"/>
  <c r="F101" i="5"/>
  <c r="G101" i="5"/>
  <c r="H101" i="5"/>
  <c r="I101" i="5"/>
  <c r="J101" i="5"/>
  <c r="K101" i="5"/>
  <c r="L101" i="5"/>
  <c r="M101" i="5"/>
  <c r="F102" i="5"/>
  <c r="G102" i="5"/>
  <c r="H102" i="5"/>
  <c r="I102" i="5"/>
  <c r="J102" i="5"/>
  <c r="K102" i="5"/>
  <c r="L102" i="5"/>
  <c r="M102" i="5"/>
  <c r="F103" i="5"/>
  <c r="G103" i="5"/>
  <c r="H103" i="5"/>
  <c r="I103" i="5"/>
  <c r="J103" i="5"/>
  <c r="K103" i="5"/>
  <c r="L103" i="5"/>
  <c r="M103" i="5"/>
  <c r="F104" i="5"/>
  <c r="G104" i="5"/>
  <c r="H104" i="5"/>
  <c r="I104" i="5"/>
  <c r="J104" i="5"/>
  <c r="K104" i="5"/>
  <c r="L104" i="5"/>
  <c r="M104" i="5"/>
  <c r="F105" i="5"/>
  <c r="G105" i="5"/>
  <c r="H105" i="5"/>
  <c r="I105" i="5"/>
  <c r="J105" i="5"/>
  <c r="K105" i="5"/>
  <c r="L105" i="5"/>
  <c r="M105" i="5"/>
  <c r="F106" i="5"/>
  <c r="G106" i="5"/>
  <c r="H106" i="5"/>
  <c r="I106" i="5"/>
  <c r="J106" i="5"/>
  <c r="K106" i="5"/>
  <c r="L106" i="5"/>
  <c r="M106" i="5"/>
  <c r="F107" i="5"/>
  <c r="G107" i="5"/>
  <c r="H107" i="5"/>
  <c r="I107" i="5"/>
  <c r="J107" i="5"/>
  <c r="K107" i="5"/>
  <c r="L107" i="5"/>
  <c r="M107" i="5"/>
  <c r="F108" i="5"/>
  <c r="G108" i="5"/>
  <c r="H108" i="5"/>
  <c r="I108" i="5"/>
  <c r="J108" i="5"/>
  <c r="K108" i="5"/>
  <c r="L108" i="5"/>
  <c r="M108" i="5"/>
  <c r="F109" i="5"/>
  <c r="G109" i="5"/>
  <c r="H109" i="5"/>
  <c r="I109" i="5"/>
  <c r="J109" i="5"/>
  <c r="K109" i="5"/>
  <c r="L109" i="5"/>
  <c r="M109" i="5"/>
  <c r="F110" i="5"/>
  <c r="G110" i="5"/>
  <c r="H110" i="5"/>
  <c r="I110" i="5"/>
  <c r="J110" i="5"/>
  <c r="K110" i="5"/>
  <c r="L110" i="5"/>
  <c r="M110" i="5"/>
  <c r="F111" i="5"/>
  <c r="G111" i="5"/>
  <c r="H111" i="5"/>
  <c r="I111" i="5"/>
  <c r="J111" i="5"/>
  <c r="K111" i="5"/>
  <c r="L111" i="5"/>
  <c r="M111" i="5"/>
  <c r="F112" i="5"/>
  <c r="G112" i="5"/>
  <c r="H112" i="5"/>
  <c r="I112" i="5"/>
  <c r="J112" i="5"/>
  <c r="K112" i="5"/>
  <c r="L112" i="5"/>
  <c r="M112" i="5"/>
  <c r="F113" i="5"/>
  <c r="G113" i="5"/>
  <c r="H113" i="5"/>
  <c r="I113" i="5"/>
  <c r="J113" i="5"/>
  <c r="K113" i="5"/>
  <c r="L113" i="5"/>
  <c r="M113" i="5"/>
  <c r="F114" i="5"/>
  <c r="G114" i="5"/>
  <c r="H114" i="5"/>
  <c r="I114" i="5"/>
  <c r="J114" i="5"/>
  <c r="K114" i="5"/>
  <c r="L114" i="5"/>
  <c r="M114" i="5"/>
  <c r="F115" i="5"/>
  <c r="G115" i="5"/>
  <c r="H115" i="5"/>
  <c r="I115" i="5"/>
  <c r="J115" i="5"/>
  <c r="K115" i="5"/>
  <c r="L115" i="5"/>
  <c r="M115" i="5"/>
  <c r="F116" i="5"/>
  <c r="G116" i="5"/>
  <c r="H116" i="5"/>
  <c r="I116" i="5"/>
  <c r="J116" i="5"/>
  <c r="K116" i="5"/>
  <c r="L116" i="5"/>
  <c r="M116" i="5"/>
  <c r="F117" i="5"/>
  <c r="G117" i="5"/>
  <c r="H117" i="5"/>
  <c r="I117" i="5"/>
  <c r="J117" i="5"/>
  <c r="K117" i="5"/>
  <c r="L117" i="5"/>
  <c r="M117" i="5"/>
  <c r="F118" i="5"/>
  <c r="G118" i="5"/>
  <c r="H118" i="5"/>
  <c r="I118" i="5"/>
  <c r="J118" i="5"/>
  <c r="K118" i="5"/>
  <c r="L118" i="5"/>
  <c r="M118" i="5"/>
  <c r="F119" i="5"/>
  <c r="G119" i="5"/>
  <c r="H119" i="5"/>
  <c r="I119" i="5"/>
  <c r="J119" i="5"/>
  <c r="K119" i="5"/>
  <c r="L119" i="5"/>
  <c r="M119" i="5"/>
  <c r="F120" i="5"/>
  <c r="G120" i="5"/>
  <c r="H120" i="5"/>
  <c r="I120" i="5"/>
  <c r="J120" i="5"/>
  <c r="K120" i="5"/>
  <c r="L120" i="5"/>
  <c r="M120" i="5"/>
  <c r="F121" i="5"/>
  <c r="G121" i="5"/>
  <c r="H121" i="5"/>
  <c r="I121" i="5"/>
  <c r="J121" i="5"/>
  <c r="K121" i="5"/>
  <c r="L121" i="5"/>
  <c r="M121" i="5"/>
  <c r="F122" i="5"/>
  <c r="G122" i="5"/>
  <c r="H122" i="5"/>
  <c r="I122" i="5"/>
  <c r="J122" i="5"/>
  <c r="K122" i="5"/>
  <c r="L122" i="5"/>
  <c r="M122" i="5"/>
  <c r="F123" i="5"/>
  <c r="G123" i="5"/>
  <c r="H123" i="5"/>
  <c r="I123" i="5"/>
  <c r="J123" i="5"/>
  <c r="K123" i="5"/>
  <c r="L123" i="5"/>
  <c r="M123" i="5"/>
  <c r="F124" i="5"/>
  <c r="G124" i="5"/>
  <c r="H124" i="5"/>
  <c r="I124" i="5"/>
  <c r="J124" i="5"/>
  <c r="K124" i="5"/>
  <c r="L124" i="5"/>
  <c r="M124" i="5"/>
  <c r="F125" i="5"/>
  <c r="G125" i="5"/>
  <c r="H125" i="5"/>
  <c r="I125" i="5"/>
  <c r="J125" i="5"/>
  <c r="K125" i="5"/>
  <c r="L125" i="5"/>
  <c r="M125" i="5"/>
  <c r="F126" i="5"/>
  <c r="G126" i="5"/>
  <c r="H126" i="5"/>
  <c r="I126" i="5"/>
  <c r="J126" i="5"/>
  <c r="K126" i="5"/>
  <c r="L126" i="5"/>
  <c r="M126" i="5"/>
  <c r="F127" i="5"/>
  <c r="G127" i="5"/>
  <c r="H127" i="5"/>
  <c r="I127" i="5"/>
  <c r="J127" i="5"/>
  <c r="K127" i="5"/>
  <c r="L127" i="5"/>
  <c r="M127" i="5"/>
  <c r="F128" i="5"/>
  <c r="G128" i="5"/>
  <c r="H128" i="5"/>
  <c r="I128" i="5"/>
  <c r="J128" i="5"/>
  <c r="K128" i="5"/>
  <c r="L128" i="5"/>
  <c r="M128" i="5"/>
  <c r="F129" i="5"/>
  <c r="G129" i="5"/>
  <c r="H129" i="5"/>
  <c r="I129" i="5"/>
  <c r="J129" i="5"/>
  <c r="K129" i="5"/>
  <c r="L129" i="5"/>
  <c r="M129" i="5"/>
  <c r="F130" i="5"/>
  <c r="G130" i="5"/>
  <c r="H130" i="5"/>
  <c r="I130" i="5"/>
  <c r="J130" i="5"/>
  <c r="K130" i="5"/>
  <c r="L130" i="5"/>
  <c r="M130" i="5"/>
  <c r="F131" i="5"/>
  <c r="G131" i="5"/>
  <c r="H131" i="5"/>
  <c r="I131" i="5"/>
  <c r="J131" i="5"/>
  <c r="K131" i="5"/>
  <c r="L131" i="5"/>
  <c r="M131" i="5"/>
  <c r="F132" i="5"/>
  <c r="G132" i="5"/>
  <c r="H132" i="5"/>
  <c r="I132" i="5"/>
  <c r="J132" i="5"/>
  <c r="K132" i="5"/>
  <c r="L132" i="5"/>
  <c r="M132" i="5"/>
  <c r="E133" i="5"/>
  <c r="F133" i="5"/>
  <c r="G133" i="5"/>
  <c r="H133" i="5"/>
  <c r="I133" i="5"/>
  <c r="J133" i="5"/>
  <c r="K133" i="5"/>
  <c r="L133" i="5"/>
  <c r="M133" i="5"/>
  <c r="E134" i="5"/>
  <c r="F134" i="5"/>
  <c r="G134" i="5"/>
  <c r="H134" i="5"/>
  <c r="I134" i="5"/>
  <c r="J134" i="5"/>
  <c r="K134" i="5"/>
  <c r="L134" i="5"/>
  <c r="M134" i="5"/>
  <c r="E135" i="5"/>
  <c r="F135" i="5"/>
  <c r="G135" i="5"/>
  <c r="H135" i="5"/>
  <c r="I135" i="5"/>
  <c r="J135" i="5"/>
  <c r="K135" i="5"/>
  <c r="L135" i="5"/>
  <c r="M135" i="5"/>
  <c r="E136" i="5"/>
  <c r="F136" i="5"/>
  <c r="G136" i="5"/>
  <c r="H136" i="5"/>
  <c r="I136" i="5"/>
  <c r="J136" i="5"/>
  <c r="K136" i="5"/>
  <c r="L136" i="5"/>
  <c r="M136" i="5"/>
  <c r="E137" i="5"/>
  <c r="F137" i="5"/>
  <c r="G137" i="5"/>
  <c r="H137" i="5"/>
  <c r="I137" i="5"/>
  <c r="J137" i="5"/>
  <c r="K137" i="5"/>
  <c r="L137" i="5"/>
  <c r="M137" i="5"/>
  <c r="E138" i="5"/>
  <c r="F138" i="5"/>
  <c r="G138" i="5"/>
  <c r="H138" i="5"/>
  <c r="I138" i="5"/>
  <c r="J138" i="5"/>
  <c r="K138" i="5"/>
  <c r="L138" i="5"/>
  <c r="M138" i="5"/>
  <c r="E139" i="5"/>
  <c r="F139" i="5"/>
  <c r="G139" i="5"/>
  <c r="H139" i="5"/>
  <c r="I139" i="5"/>
  <c r="J139" i="5"/>
  <c r="K139" i="5"/>
  <c r="L139" i="5"/>
  <c r="M139" i="5"/>
  <c r="E140" i="5"/>
  <c r="F140" i="5"/>
  <c r="G140" i="5"/>
  <c r="H140" i="5"/>
  <c r="I140" i="5"/>
  <c r="J140" i="5"/>
  <c r="K140" i="5"/>
  <c r="L140" i="5"/>
  <c r="M140" i="5"/>
  <c r="E141" i="5"/>
  <c r="F141" i="5"/>
  <c r="G141" i="5"/>
  <c r="H141" i="5"/>
  <c r="I141" i="5"/>
  <c r="J141" i="5"/>
  <c r="K141" i="5"/>
  <c r="L141" i="5"/>
  <c r="M141" i="5"/>
  <c r="E142" i="5"/>
  <c r="F142" i="5"/>
  <c r="G142" i="5"/>
  <c r="H142" i="5"/>
  <c r="I142" i="5"/>
  <c r="J142" i="5"/>
  <c r="K142" i="5"/>
  <c r="L142" i="5"/>
  <c r="M142" i="5"/>
  <c r="E143" i="5"/>
  <c r="F143" i="5"/>
  <c r="G143" i="5"/>
  <c r="H143" i="5"/>
  <c r="I143" i="5"/>
  <c r="J143" i="5"/>
  <c r="K143" i="5"/>
  <c r="L143" i="5"/>
  <c r="M143" i="5"/>
  <c r="E144" i="5"/>
  <c r="F144" i="5"/>
  <c r="G144" i="5"/>
  <c r="H144" i="5"/>
  <c r="I144" i="5"/>
  <c r="J144" i="5"/>
  <c r="K144" i="5"/>
  <c r="L144" i="5"/>
  <c r="M144" i="5"/>
  <c r="E145" i="5"/>
  <c r="F145" i="5"/>
  <c r="G145" i="5"/>
  <c r="H145" i="5"/>
  <c r="I145" i="5"/>
  <c r="J145" i="5"/>
  <c r="K145" i="5"/>
  <c r="L145" i="5"/>
  <c r="M145" i="5"/>
  <c r="E146" i="5"/>
  <c r="F146" i="5"/>
  <c r="G146" i="5"/>
  <c r="H146" i="5"/>
  <c r="I146" i="5"/>
  <c r="J146" i="5"/>
  <c r="K146" i="5"/>
  <c r="L146" i="5"/>
  <c r="M146" i="5"/>
  <c r="E147" i="5"/>
  <c r="F147" i="5"/>
  <c r="G147" i="5"/>
  <c r="H147" i="5"/>
  <c r="I147" i="5"/>
  <c r="J147" i="5"/>
  <c r="K147" i="5"/>
  <c r="L147" i="5"/>
  <c r="M147" i="5"/>
  <c r="E148" i="5"/>
  <c r="F148" i="5"/>
  <c r="G148" i="5"/>
  <c r="H148" i="5"/>
  <c r="I148" i="5"/>
  <c r="J148" i="5"/>
  <c r="K148" i="5"/>
  <c r="L148" i="5"/>
  <c r="M148" i="5"/>
  <c r="E149" i="5"/>
  <c r="F149" i="5"/>
  <c r="G149" i="5"/>
  <c r="H149" i="5"/>
  <c r="I149" i="5"/>
  <c r="J149" i="5"/>
  <c r="K149" i="5"/>
  <c r="L149" i="5"/>
  <c r="M149" i="5"/>
  <c r="E150" i="5"/>
  <c r="F150" i="5"/>
  <c r="G150" i="5"/>
  <c r="H150" i="5"/>
  <c r="I150" i="5"/>
  <c r="J150" i="5"/>
  <c r="K150" i="5"/>
  <c r="L150" i="5"/>
  <c r="M150" i="5"/>
  <c r="E151" i="5"/>
  <c r="F151" i="5"/>
  <c r="G151" i="5"/>
  <c r="H151" i="5"/>
  <c r="I151" i="5"/>
  <c r="J151" i="5"/>
  <c r="K151" i="5"/>
  <c r="L151" i="5"/>
  <c r="M151" i="5"/>
  <c r="E152" i="5"/>
  <c r="F152" i="5"/>
  <c r="G152" i="5"/>
  <c r="H152" i="5"/>
  <c r="I152" i="5"/>
  <c r="J152" i="5"/>
  <c r="K152" i="5"/>
  <c r="L152" i="5"/>
  <c r="M152" i="5"/>
  <c r="E153" i="5"/>
  <c r="F153" i="5"/>
  <c r="G153" i="5"/>
  <c r="H153" i="5"/>
  <c r="I153" i="5"/>
  <c r="J153" i="5"/>
  <c r="K153" i="5"/>
  <c r="L153" i="5"/>
  <c r="M153" i="5"/>
  <c r="E154" i="5"/>
  <c r="F154" i="5"/>
  <c r="G154" i="5"/>
  <c r="H154" i="5"/>
  <c r="I154" i="5"/>
  <c r="J154" i="5"/>
  <c r="K154" i="5"/>
  <c r="L154" i="5"/>
  <c r="M154" i="5"/>
  <c r="E155" i="5"/>
  <c r="F155" i="5"/>
  <c r="G155" i="5"/>
  <c r="H155" i="5"/>
  <c r="I155" i="5"/>
  <c r="J155" i="5"/>
  <c r="K155" i="5"/>
  <c r="L155" i="5"/>
  <c r="M155" i="5"/>
  <c r="E156" i="5"/>
  <c r="F156" i="5"/>
  <c r="G156" i="5"/>
  <c r="H156" i="5"/>
  <c r="I156" i="5"/>
  <c r="J156" i="5"/>
  <c r="K156" i="5"/>
  <c r="L156" i="5"/>
  <c r="M156" i="5"/>
  <c r="E157" i="5"/>
  <c r="F157" i="5"/>
  <c r="G157" i="5"/>
  <c r="H157" i="5"/>
  <c r="I157" i="5"/>
  <c r="J157" i="5"/>
  <c r="K157" i="5"/>
  <c r="L157" i="5"/>
  <c r="M157" i="5"/>
  <c r="E158" i="5"/>
  <c r="F158" i="5"/>
  <c r="G158" i="5"/>
  <c r="H158" i="5"/>
  <c r="I158" i="5"/>
  <c r="J158" i="5"/>
  <c r="K158" i="5"/>
  <c r="L158" i="5"/>
  <c r="M158" i="5"/>
  <c r="E159" i="5"/>
  <c r="F159" i="5"/>
  <c r="G159" i="5"/>
  <c r="H159" i="5"/>
  <c r="I159" i="5"/>
  <c r="J159" i="5"/>
  <c r="K159" i="5"/>
  <c r="L159" i="5"/>
  <c r="M159" i="5"/>
  <c r="E160" i="5"/>
  <c r="F160" i="5"/>
  <c r="G160" i="5"/>
  <c r="H160" i="5"/>
  <c r="I160" i="5"/>
  <c r="J160" i="5"/>
  <c r="K160" i="5"/>
  <c r="L160" i="5"/>
  <c r="M160" i="5"/>
  <c r="E161" i="5"/>
  <c r="F161" i="5"/>
  <c r="G161" i="5"/>
  <c r="H161" i="5"/>
  <c r="I161" i="5"/>
  <c r="J161" i="5"/>
  <c r="K161" i="5"/>
  <c r="L161" i="5"/>
  <c r="M161" i="5"/>
  <c r="E162" i="5"/>
  <c r="F162" i="5"/>
  <c r="G162" i="5"/>
  <c r="H162" i="5"/>
  <c r="I162" i="5"/>
  <c r="J162" i="5"/>
  <c r="K162" i="5"/>
  <c r="L162" i="5"/>
  <c r="M162" i="5"/>
  <c r="E163" i="5"/>
  <c r="F163" i="5"/>
  <c r="G163" i="5"/>
  <c r="H163" i="5"/>
  <c r="I163" i="5"/>
  <c r="J163" i="5"/>
  <c r="K163" i="5"/>
  <c r="L163" i="5"/>
  <c r="M163" i="5"/>
  <c r="E164" i="5"/>
  <c r="F164" i="5"/>
  <c r="G164" i="5"/>
  <c r="H164" i="5"/>
  <c r="I164" i="5"/>
  <c r="J164" i="5"/>
  <c r="K164" i="5"/>
  <c r="L164" i="5"/>
  <c r="M164" i="5"/>
  <c r="E165" i="5"/>
  <c r="F165" i="5"/>
  <c r="G165" i="5"/>
  <c r="H165" i="5"/>
  <c r="I165" i="5"/>
  <c r="J165" i="5"/>
  <c r="K165" i="5"/>
  <c r="L165" i="5"/>
  <c r="M165" i="5"/>
  <c r="E166" i="5"/>
  <c r="F166" i="5"/>
  <c r="G166" i="5"/>
  <c r="H166" i="5"/>
  <c r="I166" i="5"/>
  <c r="J166" i="5"/>
  <c r="K166" i="5"/>
  <c r="L166" i="5"/>
  <c r="M166" i="5"/>
  <c r="E167" i="5"/>
  <c r="F167" i="5"/>
  <c r="G167" i="5"/>
  <c r="H167" i="5"/>
  <c r="I167" i="5"/>
  <c r="J167" i="5"/>
  <c r="K167" i="5"/>
  <c r="L167" i="5"/>
  <c r="M167" i="5"/>
  <c r="E168" i="5"/>
  <c r="F168" i="5"/>
  <c r="G168" i="5"/>
  <c r="H168" i="5"/>
  <c r="I168" i="5"/>
  <c r="J168" i="5"/>
  <c r="K168" i="5"/>
  <c r="L168" i="5"/>
  <c r="M168" i="5"/>
  <c r="E169" i="5"/>
  <c r="F169" i="5"/>
  <c r="G169" i="5"/>
  <c r="H169" i="5"/>
  <c r="I169" i="5"/>
  <c r="J169" i="5"/>
  <c r="K169" i="5"/>
  <c r="L169" i="5"/>
  <c r="M169" i="5"/>
  <c r="E170" i="5"/>
  <c r="F170" i="5"/>
  <c r="G170" i="5"/>
  <c r="H170" i="5"/>
  <c r="I170" i="5"/>
  <c r="J170" i="5"/>
  <c r="K170" i="5"/>
  <c r="L170" i="5"/>
  <c r="M170" i="5"/>
  <c r="E171" i="5"/>
  <c r="F171" i="5"/>
  <c r="G171" i="5"/>
  <c r="H171" i="5"/>
  <c r="I171" i="5"/>
  <c r="J171" i="5"/>
  <c r="K171" i="5"/>
  <c r="L171" i="5"/>
  <c r="M171" i="5"/>
  <c r="E172" i="5"/>
  <c r="F172" i="5"/>
  <c r="G172" i="5"/>
  <c r="H172" i="5"/>
  <c r="I172" i="5"/>
  <c r="J172" i="5"/>
  <c r="K172" i="5"/>
  <c r="L172" i="5"/>
  <c r="M172" i="5"/>
  <c r="E173" i="5"/>
  <c r="F173" i="5"/>
  <c r="G173" i="5"/>
  <c r="H173" i="5"/>
  <c r="I173" i="5"/>
  <c r="J173" i="5"/>
  <c r="K173" i="5"/>
  <c r="L173" i="5"/>
  <c r="M173" i="5"/>
  <c r="E174" i="5"/>
  <c r="F174" i="5"/>
  <c r="G174" i="5"/>
  <c r="H174" i="5"/>
  <c r="I174" i="5"/>
  <c r="J174" i="5"/>
  <c r="K174" i="5"/>
  <c r="L174" i="5"/>
  <c r="M174" i="5"/>
  <c r="E175" i="5"/>
  <c r="F175" i="5"/>
  <c r="G175" i="5"/>
  <c r="H175" i="5"/>
  <c r="I175" i="5"/>
  <c r="J175" i="5"/>
  <c r="K175" i="5"/>
  <c r="L175" i="5"/>
  <c r="M175" i="5"/>
  <c r="E176" i="5"/>
  <c r="F176" i="5"/>
  <c r="G176" i="5"/>
  <c r="H176" i="5"/>
  <c r="I176" i="5"/>
  <c r="J176" i="5"/>
  <c r="K176" i="5"/>
  <c r="L176" i="5"/>
  <c r="M176" i="5"/>
  <c r="E177" i="5"/>
  <c r="F177" i="5"/>
  <c r="G177" i="5"/>
  <c r="H177" i="5"/>
  <c r="I177" i="5"/>
  <c r="J177" i="5"/>
  <c r="K177" i="5"/>
  <c r="L177" i="5"/>
  <c r="M177" i="5"/>
  <c r="E178" i="5"/>
  <c r="F178" i="5"/>
  <c r="G178" i="5"/>
  <c r="H178" i="5"/>
  <c r="I178" i="5"/>
  <c r="J178" i="5"/>
  <c r="K178" i="5"/>
  <c r="L178" i="5"/>
  <c r="M178" i="5"/>
  <c r="E179" i="5"/>
  <c r="F179" i="5"/>
  <c r="G179" i="5"/>
  <c r="H179" i="5"/>
  <c r="I179" i="5"/>
  <c r="J179" i="5"/>
  <c r="K179" i="5"/>
  <c r="L179" i="5"/>
  <c r="M179" i="5"/>
  <c r="E180" i="5"/>
  <c r="F180" i="5"/>
  <c r="G180" i="5"/>
  <c r="H180" i="5"/>
  <c r="I180" i="5"/>
  <c r="J180" i="5"/>
  <c r="K180" i="5"/>
  <c r="L180" i="5"/>
  <c r="M180" i="5"/>
  <c r="E181" i="5"/>
  <c r="F181" i="5"/>
  <c r="G181" i="5"/>
  <c r="H181" i="5"/>
  <c r="I181" i="5"/>
  <c r="J181" i="5"/>
  <c r="K181" i="5"/>
  <c r="L181" i="5"/>
  <c r="M181" i="5"/>
  <c r="D134" i="5"/>
  <c r="D135" i="5"/>
  <c r="D136" i="5"/>
  <c r="D137" i="5"/>
  <c r="D138" i="5"/>
  <c r="D139" i="5"/>
  <c r="D140" i="5"/>
  <c r="D141" i="5"/>
  <c r="D142" i="5"/>
  <c r="D143" i="5"/>
  <c r="D144" i="5"/>
  <c r="D145" i="5"/>
  <c r="D146" i="5"/>
  <c r="D147" i="5"/>
  <c r="D148" i="5"/>
  <c r="D149" i="5"/>
  <c r="D150" i="5"/>
  <c r="D151" i="5"/>
  <c r="D152" i="5"/>
  <c r="D153" i="5"/>
  <c r="D154" i="5"/>
  <c r="D155" i="5"/>
  <c r="D156" i="5"/>
  <c r="D157" i="5"/>
  <c r="D158" i="5"/>
  <c r="D159" i="5"/>
  <c r="D160" i="5"/>
  <c r="D161" i="5"/>
  <c r="D162" i="5"/>
  <c r="D163" i="5"/>
  <c r="D164" i="5"/>
  <c r="D165" i="5"/>
  <c r="D166" i="5"/>
  <c r="D167" i="5"/>
  <c r="D168" i="5"/>
  <c r="D169" i="5"/>
  <c r="D170" i="5"/>
  <c r="D171" i="5"/>
  <c r="D172" i="5"/>
  <c r="D173" i="5"/>
  <c r="D174" i="5"/>
  <c r="D175" i="5"/>
  <c r="D176" i="5"/>
  <c r="D177" i="5"/>
  <c r="D178" i="5"/>
  <c r="D179" i="5"/>
  <c r="D180" i="5"/>
  <c r="D181" i="5"/>
  <c r="FK12" i="6"/>
  <c r="FK13" i="6"/>
  <c r="FK14" i="6"/>
  <c r="FK15" i="6"/>
  <c r="FK16" i="6"/>
  <c r="FK17" i="6"/>
  <c r="FK18" i="6"/>
  <c r="FK19" i="6"/>
  <c r="FK20" i="6"/>
  <c r="FK21" i="6"/>
  <c r="FK22" i="6"/>
  <c r="FK23" i="6"/>
  <c r="FK24" i="6"/>
  <c r="FK25" i="6"/>
  <c r="FK26" i="6"/>
  <c r="FK27" i="6"/>
  <c r="FK28" i="6"/>
  <c r="FK29" i="6"/>
  <c r="FK30" i="6"/>
  <c r="FK31" i="6"/>
  <c r="FK32" i="6"/>
  <c r="FK33" i="6"/>
  <c r="FK34" i="6"/>
  <c r="FK35" i="6"/>
  <c r="FK36" i="6"/>
  <c r="FK37" i="6"/>
  <c r="FK38" i="6"/>
  <c r="FK39" i="6"/>
  <c r="FK40" i="6"/>
  <c r="FK41" i="6"/>
  <c r="FK42" i="6"/>
  <c r="FK43" i="6"/>
  <c r="FK44" i="6"/>
  <c r="FK45" i="6"/>
  <c r="FK46" i="6"/>
  <c r="FK47" i="6"/>
  <c r="FK48" i="6"/>
  <c r="FK49" i="6"/>
  <c r="FK50" i="6"/>
  <c r="FK51" i="6"/>
  <c r="FK52" i="6"/>
  <c r="FK53" i="6"/>
  <c r="FK54" i="6"/>
  <c r="FK55" i="6"/>
  <c r="FK56" i="6"/>
  <c r="FK57" i="6"/>
  <c r="FK58" i="6"/>
  <c r="FK59" i="6"/>
  <c r="FK60" i="6"/>
  <c r="FK61" i="6"/>
  <c r="FK62" i="6"/>
  <c r="FK63" i="6"/>
  <c r="FK64" i="6"/>
  <c r="FK65" i="6"/>
  <c r="FK66" i="6"/>
  <c r="FK67" i="6"/>
  <c r="FK68" i="6"/>
  <c r="FK69" i="6"/>
  <c r="FK70" i="6"/>
  <c r="FK71" i="6"/>
  <c r="FK72" i="6"/>
  <c r="FK73" i="6"/>
  <c r="FK74" i="6"/>
  <c r="FK75" i="6"/>
  <c r="FK76" i="6"/>
  <c r="FK77" i="6"/>
  <c r="FK78" i="6"/>
  <c r="FK79" i="6"/>
  <c r="FK80" i="6"/>
  <c r="FK81" i="6"/>
  <c r="FK82" i="6"/>
  <c r="FK83" i="6"/>
  <c r="FK84" i="6"/>
  <c r="FK85" i="6"/>
  <c r="FK86" i="6"/>
  <c r="FK87" i="6"/>
  <c r="FK88" i="6"/>
  <c r="FK89" i="6"/>
  <c r="FK90" i="6"/>
  <c r="FK91" i="6"/>
  <c r="FK92" i="6"/>
  <c r="FK93" i="6"/>
  <c r="FK94" i="6"/>
  <c r="FK95" i="6"/>
  <c r="FK96" i="6"/>
  <c r="FK97" i="6"/>
  <c r="FK98" i="6"/>
  <c r="FK99" i="6"/>
  <c r="FK100" i="6"/>
  <c r="FK101" i="6"/>
  <c r="FK102" i="6"/>
  <c r="FK103" i="6"/>
  <c r="FK104" i="6"/>
  <c r="FK105" i="6"/>
  <c r="FK106" i="6"/>
  <c r="FK107" i="6"/>
  <c r="FK108" i="6"/>
  <c r="FK109" i="6"/>
  <c r="FK110" i="6"/>
  <c r="FK111" i="6"/>
  <c r="FK112" i="6"/>
  <c r="FK113" i="6"/>
  <c r="FK114" i="6"/>
  <c r="FK115" i="6"/>
  <c r="FK116" i="6"/>
  <c r="FK117" i="6"/>
  <c r="FK118" i="6"/>
  <c r="FK119" i="6"/>
  <c r="FK120" i="6"/>
  <c r="FK121" i="6"/>
  <c r="FK122" i="6"/>
  <c r="FK123" i="6"/>
  <c r="FK124" i="6"/>
  <c r="FK125" i="6"/>
  <c r="FK126" i="6"/>
  <c r="FK127" i="6"/>
  <c r="FK128" i="6"/>
  <c r="FK129" i="6"/>
  <c r="FK130" i="6"/>
  <c r="FK131" i="6"/>
  <c r="FK132" i="6"/>
  <c r="FK133" i="6"/>
  <c r="FK134" i="6"/>
  <c r="FK135" i="6"/>
  <c r="FK136" i="6"/>
  <c r="FK137" i="6"/>
  <c r="FK138" i="6"/>
  <c r="FK139" i="6"/>
  <c r="FK140" i="6"/>
  <c r="FK141" i="6"/>
  <c r="FK142" i="6"/>
  <c r="FK143" i="6"/>
  <c r="FK144" i="6"/>
  <c r="FK145" i="6"/>
  <c r="FK146" i="6"/>
  <c r="FK147" i="6"/>
  <c r="FK148" i="6"/>
  <c r="FK149" i="6"/>
  <c r="FK150" i="6"/>
  <c r="FK151" i="6"/>
  <c r="FK152" i="6"/>
  <c r="FK153" i="6"/>
  <c r="FK154" i="6"/>
  <c r="FK155" i="6"/>
  <c r="FK156" i="6"/>
  <c r="FK157" i="6"/>
  <c r="FK158" i="6"/>
  <c r="FK159" i="6"/>
  <c r="FK160" i="6"/>
  <c r="FK161" i="6"/>
  <c r="FK162" i="6"/>
  <c r="FK163" i="6"/>
  <c r="FK164" i="6"/>
  <c r="FK165" i="6"/>
  <c r="FK166" i="6"/>
  <c r="FK167" i="6"/>
  <c r="FK168" i="6"/>
  <c r="FK169" i="6"/>
  <c r="FK170" i="6"/>
  <c r="FK171" i="6"/>
  <c r="FK172" i="6"/>
  <c r="FK173" i="6"/>
  <c r="FK174" i="6"/>
  <c r="FK175" i="6"/>
  <c r="FK176" i="6"/>
  <c r="FK177" i="6"/>
  <c r="FK178" i="6"/>
  <c r="FK179" i="6"/>
  <c r="FK180" i="6"/>
  <c r="FK181" i="6"/>
  <c r="FK182" i="6"/>
  <c r="FK183" i="6"/>
  <c r="FK184" i="6"/>
  <c r="FK185" i="6"/>
  <c r="FK186" i="6"/>
  <c r="FK187" i="6"/>
  <c r="FK188" i="6"/>
  <c r="FK189" i="6"/>
  <c r="FK190" i="6"/>
  <c r="FK191" i="6"/>
  <c r="FK192" i="6"/>
  <c r="FK193" i="6"/>
  <c r="FK194" i="6"/>
  <c r="FK195" i="6"/>
  <c r="FK196" i="6"/>
  <c r="FK197" i="6"/>
  <c r="FK198" i="6"/>
  <c r="FK199" i="6"/>
  <c r="FK200" i="6"/>
  <c r="FK201" i="6"/>
  <c r="FK202" i="6"/>
  <c r="FK203" i="6"/>
  <c r="FK204" i="6"/>
  <c r="FK205" i="6"/>
  <c r="FK206" i="6"/>
  <c r="FK207" i="6"/>
  <c r="FK208" i="6"/>
  <c r="FK209" i="6"/>
  <c r="FK210" i="6"/>
  <c r="FK11" i="6"/>
  <c r="BF23" i="5"/>
  <c r="BG23" i="5"/>
  <c r="BH23" i="5"/>
  <c r="BI23" i="5"/>
  <c r="BJ23" i="5"/>
  <c r="BK23" i="5"/>
  <c r="BL23" i="5"/>
  <c r="BM23" i="5"/>
  <c r="BN23" i="5"/>
  <c r="BO23" i="5"/>
  <c r="BE23" i="5"/>
  <c r="BG23" i="2"/>
  <c r="BF24" i="5" s="1"/>
  <c r="BH23" i="2"/>
  <c r="BG24" i="5" s="1"/>
  <c r="BI23" i="2"/>
  <c r="BH24" i="5" s="1"/>
  <c r="BJ23" i="2"/>
  <c r="BI24" i="5" s="1"/>
  <c r="BK23" i="2"/>
  <c r="BR23" i="2" s="1"/>
  <c r="BL23" i="2"/>
  <c r="BK24" i="5" s="1"/>
  <c r="BM23" i="2"/>
  <c r="BL24" i="5" s="1"/>
  <c r="BN23" i="2"/>
  <c r="BM24" i="5" s="1"/>
  <c r="BO23" i="2"/>
  <c r="BN24" i="5" s="1"/>
  <c r="BP23" i="2"/>
  <c r="BO24" i="5" s="1"/>
  <c r="BP22" i="2"/>
  <c r="BO22" i="2"/>
  <c r="BN22" i="2"/>
  <c r="BH22" i="2"/>
  <c r="BI22" i="2"/>
  <c r="BJ22" i="2"/>
  <c r="BK22" i="2"/>
  <c r="BL22" i="2"/>
  <c r="BM22" i="2"/>
  <c r="BG22" i="2"/>
  <c r="BF23" i="2"/>
  <c r="BE24" i="5" s="1"/>
  <c r="BF22" i="2"/>
  <c r="R16" i="5"/>
  <c r="S16" i="5"/>
  <c r="T16" i="5"/>
  <c r="U16" i="5"/>
  <c r="V16" i="5"/>
  <c r="W16" i="5"/>
  <c r="X16" i="5"/>
  <c r="Y16" i="5"/>
  <c r="Z16" i="5"/>
  <c r="R17" i="5"/>
  <c r="S17" i="5"/>
  <c r="T17" i="5"/>
  <c r="U17" i="5"/>
  <c r="V17" i="5"/>
  <c r="W17" i="5"/>
  <c r="X17" i="5"/>
  <c r="Y17" i="5"/>
  <c r="Z17" i="5"/>
  <c r="R18" i="5"/>
  <c r="S18" i="5"/>
  <c r="T18" i="5"/>
  <c r="U18" i="5"/>
  <c r="V18" i="5"/>
  <c r="W18" i="5"/>
  <c r="X18" i="5"/>
  <c r="Y18" i="5"/>
  <c r="Z18" i="5"/>
  <c r="R19" i="5"/>
  <c r="S19" i="5"/>
  <c r="T19" i="5"/>
  <c r="U19" i="5"/>
  <c r="V19" i="5"/>
  <c r="W19" i="5"/>
  <c r="X19" i="5"/>
  <c r="Y19" i="5"/>
  <c r="Z19" i="5"/>
  <c r="R20" i="5"/>
  <c r="S20" i="5"/>
  <c r="T20" i="5"/>
  <c r="U20" i="5"/>
  <c r="V20" i="5"/>
  <c r="W20" i="5"/>
  <c r="X20" i="5"/>
  <c r="Y20" i="5"/>
  <c r="Z20" i="5"/>
  <c r="R21" i="5"/>
  <c r="S21" i="5"/>
  <c r="T21" i="5"/>
  <c r="U21" i="5"/>
  <c r="V21" i="5"/>
  <c r="W21" i="5"/>
  <c r="X21" i="5"/>
  <c r="Y21" i="5"/>
  <c r="Z21" i="5"/>
  <c r="R22" i="5"/>
  <c r="S22" i="5"/>
  <c r="T22" i="5"/>
  <c r="U22" i="5"/>
  <c r="V22" i="5"/>
  <c r="W22" i="5"/>
  <c r="X22" i="5"/>
  <c r="Y22" i="5"/>
  <c r="Z22" i="5"/>
  <c r="R23" i="5"/>
  <c r="S23" i="5"/>
  <c r="T23" i="5"/>
  <c r="U23" i="5"/>
  <c r="V23" i="5"/>
  <c r="W23" i="5"/>
  <c r="X23" i="5"/>
  <c r="Y23" i="5"/>
  <c r="Z23" i="5"/>
  <c r="R24" i="5"/>
  <c r="S24" i="5"/>
  <c r="T24" i="5"/>
  <c r="U24" i="5"/>
  <c r="V24" i="5"/>
  <c r="W24" i="5"/>
  <c r="X24" i="5"/>
  <c r="Y24" i="5"/>
  <c r="Z24" i="5"/>
  <c r="R25" i="5"/>
  <c r="S25" i="5"/>
  <c r="T25" i="5"/>
  <c r="U25" i="5"/>
  <c r="V25" i="5"/>
  <c r="W25" i="5"/>
  <c r="X25" i="5"/>
  <c r="Y25" i="5"/>
  <c r="Z25" i="5"/>
  <c r="R26" i="5"/>
  <c r="S26" i="5"/>
  <c r="T26" i="5"/>
  <c r="U26" i="5"/>
  <c r="V26" i="5"/>
  <c r="W26" i="5"/>
  <c r="X26" i="5"/>
  <c r="Y26" i="5"/>
  <c r="Z26" i="5"/>
  <c r="R27" i="5"/>
  <c r="S27" i="5"/>
  <c r="T27" i="5"/>
  <c r="U27" i="5"/>
  <c r="V27" i="5"/>
  <c r="W27" i="5"/>
  <c r="X27" i="5"/>
  <c r="Y27" i="5"/>
  <c r="Z27" i="5"/>
  <c r="R28" i="5"/>
  <c r="S28" i="5"/>
  <c r="T28" i="5"/>
  <c r="U28" i="5"/>
  <c r="V28" i="5"/>
  <c r="W28" i="5"/>
  <c r="X28" i="5"/>
  <c r="Y28" i="5"/>
  <c r="Z28" i="5"/>
  <c r="R29" i="5"/>
  <c r="S29" i="5"/>
  <c r="T29" i="5"/>
  <c r="U29" i="5"/>
  <c r="V29" i="5"/>
  <c r="W29" i="5"/>
  <c r="X29" i="5"/>
  <c r="Y29" i="5"/>
  <c r="Z29" i="5"/>
  <c r="R30" i="5"/>
  <c r="S30" i="5"/>
  <c r="T30" i="5"/>
  <c r="U30" i="5"/>
  <c r="V30" i="5"/>
  <c r="W30" i="5"/>
  <c r="X30" i="5"/>
  <c r="Y30" i="5"/>
  <c r="Z30" i="5"/>
  <c r="R31" i="5"/>
  <c r="S31" i="5"/>
  <c r="T31" i="5"/>
  <c r="U31" i="5"/>
  <c r="V31" i="5"/>
  <c r="W31" i="5"/>
  <c r="X31" i="5"/>
  <c r="Y31" i="5"/>
  <c r="Z31" i="5"/>
  <c r="R32" i="5"/>
  <c r="S32" i="5"/>
  <c r="T32" i="5"/>
  <c r="U32" i="5"/>
  <c r="V32" i="5"/>
  <c r="W32" i="5"/>
  <c r="X32" i="5"/>
  <c r="Y32" i="5"/>
  <c r="Z32" i="5"/>
  <c r="R33" i="5"/>
  <c r="S33" i="5"/>
  <c r="T33" i="5"/>
  <c r="U33" i="5"/>
  <c r="V33" i="5"/>
  <c r="W33" i="5"/>
  <c r="X33" i="5"/>
  <c r="Y33" i="5"/>
  <c r="Z33" i="5"/>
  <c r="R34" i="5"/>
  <c r="S34" i="5"/>
  <c r="T34" i="5"/>
  <c r="U34" i="5"/>
  <c r="V34" i="5"/>
  <c r="W34" i="5"/>
  <c r="X34" i="5"/>
  <c r="Y34" i="5"/>
  <c r="Z34" i="5"/>
  <c r="R35" i="5"/>
  <c r="S35" i="5"/>
  <c r="T35" i="5"/>
  <c r="U35" i="5"/>
  <c r="V35" i="5"/>
  <c r="W35" i="5"/>
  <c r="X35" i="5"/>
  <c r="Y35" i="5"/>
  <c r="Z35" i="5"/>
  <c r="R36" i="5"/>
  <c r="S36" i="5"/>
  <c r="T36" i="5"/>
  <c r="U36" i="5"/>
  <c r="V36" i="5"/>
  <c r="W36" i="5"/>
  <c r="X36" i="5"/>
  <c r="Y36" i="5"/>
  <c r="Z36" i="5"/>
  <c r="R37" i="5"/>
  <c r="S37" i="5"/>
  <c r="T37" i="5"/>
  <c r="U37" i="5"/>
  <c r="V37" i="5"/>
  <c r="W37" i="5"/>
  <c r="X37" i="5"/>
  <c r="Y37" i="5"/>
  <c r="Z37" i="5"/>
  <c r="R38" i="5"/>
  <c r="S38" i="5"/>
  <c r="T38" i="5"/>
  <c r="U38" i="5"/>
  <c r="V38" i="5"/>
  <c r="W38" i="5"/>
  <c r="X38" i="5"/>
  <c r="Y38" i="5"/>
  <c r="Z38" i="5"/>
  <c r="R39" i="5"/>
  <c r="S39" i="5"/>
  <c r="T39" i="5"/>
  <c r="U39" i="5"/>
  <c r="V39" i="5"/>
  <c r="W39" i="5"/>
  <c r="X39" i="5"/>
  <c r="Y39" i="5"/>
  <c r="Z39" i="5"/>
  <c r="R40" i="5"/>
  <c r="S40" i="5"/>
  <c r="T40" i="5"/>
  <c r="U40" i="5"/>
  <c r="V40" i="5"/>
  <c r="W40" i="5"/>
  <c r="X40" i="5"/>
  <c r="Y40" i="5"/>
  <c r="Z40" i="5"/>
  <c r="R41" i="5"/>
  <c r="S41" i="5"/>
  <c r="T41" i="5"/>
  <c r="U41" i="5"/>
  <c r="V41" i="5"/>
  <c r="W41" i="5"/>
  <c r="X41" i="5"/>
  <c r="Y41" i="5"/>
  <c r="Z41" i="5"/>
  <c r="R42" i="5"/>
  <c r="S42" i="5"/>
  <c r="T42" i="5"/>
  <c r="U42" i="5"/>
  <c r="V42" i="5"/>
  <c r="W42" i="5"/>
  <c r="X42" i="5"/>
  <c r="Y42" i="5"/>
  <c r="Z42" i="5"/>
  <c r="R43" i="5"/>
  <c r="S43" i="5"/>
  <c r="T43" i="5"/>
  <c r="U43" i="5"/>
  <c r="V43" i="5"/>
  <c r="W43" i="5"/>
  <c r="X43" i="5"/>
  <c r="Y43" i="5"/>
  <c r="Z43" i="5"/>
  <c r="R44" i="5"/>
  <c r="S44" i="5"/>
  <c r="T44" i="5"/>
  <c r="U44" i="5"/>
  <c r="V44" i="5"/>
  <c r="W44" i="5"/>
  <c r="X44" i="5"/>
  <c r="Y44" i="5"/>
  <c r="Z44" i="5"/>
  <c r="R45" i="5"/>
  <c r="S45" i="5"/>
  <c r="T45" i="5"/>
  <c r="U45" i="5"/>
  <c r="V45" i="5"/>
  <c r="W45" i="5"/>
  <c r="X45" i="5"/>
  <c r="Y45" i="5"/>
  <c r="Z45" i="5"/>
  <c r="R46" i="5"/>
  <c r="S46" i="5"/>
  <c r="T46" i="5"/>
  <c r="U46" i="5"/>
  <c r="V46" i="5"/>
  <c r="W46" i="5"/>
  <c r="X46" i="5"/>
  <c r="Y46" i="5"/>
  <c r="Z46" i="5"/>
  <c r="R47" i="5"/>
  <c r="S47" i="5"/>
  <c r="T47" i="5"/>
  <c r="U47" i="5"/>
  <c r="V47" i="5"/>
  <c r="W47" i="5"/>
  <c r="X47" i="5"/>
  <c r="Y47" i="5"/>
  <c r="Z47" i="5"/>
  <c r="R48" i="5"/>
  <c r="S48" i="5"/>
  <c r="T48" i="5"/>
  <c r="U48" i="5"/>
  <c r="V48" i="5"/>
  <c r="W48" i="5"/>
  <c r="X48" i="5"/>
  <c r="Y48" i="5"/>
  <c r="Z48" i="5"/>
  <c r="R49" i="5"/>
  <c r="S49" i="5"/>
  <c r="T49" i="5"/>
  <c r="U49" i="5"/>
  <c r="V49" i="5"/>
  <c r="W49" i="5"/>
  <c r="X49" i="5"/>
  <c r="Y49" i="5"/>
  <c r="Z49" i="5"/>
  <c r="R50" i="5"/>
  <c r="S50" i="5"/>
  <c r="T50" i="5"/>
  <c r="U50" i="5"/>
  <c r="V50" i="5"/>
  <c r="W50" i="5"/>
  <c r="X50" i="5"/>
  <c r="Y50" i="5"/>
  <c r="Z50" i="5"/>
  <c r="R51" i="5"/>
  <c r="S51" i="5"/>
  <c r="T51" i="5"/>
  <c r="U51" i="5"/>
  <c r="V51" i="5"/>
  <c r="W51" i="5"/>
  <c r="X51" i="5"/>
  <c r="Y51" i="5"/>
  <c r="Z51" i="5"/>
  <c r="R52" i="5"/>
  <c r="S52" i="5"/>
  <c r="T52" i="5"/>
  <c r="U52" i="5"/>
  <c r="V52" i="5"/>
  <c r="W52" i="5"/>
  <c r="X52" i="5"/>
  <c r="Y52" i="5"/>
  <c r="Z52" i="5"/>
  <c r="R53" i="5"/>
  <c r="S53" i="5"/>
  <c r="T53" i="5"/>
  <c r="U53" i="5"/>
  <c r="V53" i="5"/>
  <c r="W53" i="5"/>
  <c r="X53" i="5"/>
  <c r="Y53" i="5"/>
  <c r="Z53" i="5"/>
  <c r="R54" i="5"/>
  <c r="S54" i="5"/>
  <c r="T54" i="5"/>
  <c r="U54" i="5"/>
  <c r="V54" i="5"/>
  <c r="W54" i="5"/>
  <c r="X54" i="5"/>
  <c r="Y54" i="5"/>
  <c r="Z54" i="5"/>
  <c r="R55" i="5"/>
  <c r="S55" i="5"/>
  <c r="T55" i="5"/>
  <c r="U55" i="5"/>
  <c r="V55" i="5"/>
  <c r="W55" i="5"/>
  <c r="X55" i="5"/>
  <c r="Y55" i="5"/>
  <c r="Z55" i="5"/>
  <c r="R56" i="5"/>
  <c r="S56" i="5"/>
  <c r="T56" i="5"/>
  <c r="U56" i="5"/>
  <c r="V56" i="5"/>
  <c r="W56" i="5"/>
  <c r="X56" i="5"/>
  <c r="Y56" i="5"/>
  <c r="Z56" i="5"/>
  <c r="R57" i="5"/>
  <c r="S57" i="5"/>
  <c r="T57" i="5"/>
  <c r="U57" i="5"/>
  <c r="V57" i="5"/>
  <c r="W57" i="5"/>
  <c r="X57" i="5"/>
  <c r="Y57" i="5"/>
  <c r="Z57" i="5"/>
  <c r="R58" i="5"/>
  <c r="S58" i="5"/>
  <c r="T58" i="5"/>
  <c r="U58" i="5"/>
  <c r="V58" i="5"/>
  <c r="W58" i="5"/>
  <c r="X58" i="5"/>
  <c r="Y58" i="5"/>
  <c r="Z58" i="5"/>
  <c r="R59" i="5"/>
  <c r="S59" i="5"/>
  <c r="T59" i="5"/>
  <c r="U59" i="5"/>
  <c r="V59" i="5"/>
  <c r="W59" i="5"/>
  <c r="X59" i="5"/>
  <c r="Y59" i="5"/>
  <c r="Z59" i="5"/>
  <c r="R60" i="5"/>
  <c r="S60" i="5"/>
  <c r="T60" i="5"/>
  <c r="U60" i="5"/>
  <c r="V60" i="5"/>
  <c r="W60" i="5"/>
  <c r="X60" i="5"/>
  <c r="Y60" i="5"/>
  <c r="Z60" i="5"/>
  <c r="R61" i="5"/>
  <c r="S61" i="5"/>
  <c r="T61" i="5"/>
  <c r="U61" i="5"/>
  <c r="V61" i="5"/>
  <c r="W61" i="5"/>
  <c r="X61" i="5"/>
  <c r="Y61" i="5"/>
  <c r="Z61" i="5"/>
  <c r="R62" i="5"/>
  <c r="S62" i="5"/>
  <c r="T62" i="5"/>
  <c r="U62" i="5"/>
  <c r="V62" i="5"/>
  <c r="W62" i="5"/>
  <c r="X62" i="5"/>
  <c r="Y62" i="5"/>
  <c r="Z62" i="5"/>
  <c r="R63" i="5"/>
  <c r="S63" i="5"/>
  <c r="T63" i="5"/>
  <c r="U63" i="5"/>
  <c r="V63" i="5"/>
  <c r="W63" i="5"/>
  <c r="X63" i="5"/>
  <c r="Y63" i="5"/>
  <c r="Z63" i="5"/>
  <c r="R64" i="5"/>
  <c r="S64" i="5"/>
  <c r="T64" i="5"/>
  <c r="U64" i="5"/>
  <c r="V64" i="5"/>
  <c r="W64" i="5"/>
  <c r="X64" i="5"/>
  <c r="Y64" i="5"/>
  <c r="Z64" i="5"/>
  <c r="R65" i="5"/>
  <c r="S65" i="5"/>
  <c r="T65" i="5"/>
  <c r="U65" i="5"/>
  <c r="V65" i="5"/>
  <c r="W65" i="5"/>
  <c r="X65" i="5"/>
  <c r="Y65" i="5"/>
  <c r="Z65" i="5"/>
  <c r="R66" i="5"/>
  <c r="S66" i="5"/>
  <c r="T66" i="5"/>
  <c r="U66" i="5"/>
  <c r="V66" i="5"/>
  <c r="W66" i="5"/>
  <c r="X66" i="5"/>
  <c r="Y66" i="5"/>
  <c r="Z66" i="5"/>
  <c r="R67" i="5"/>
  <c r="S67" i="5"/>
  <c r="T67" i="5"/>
  <c r="U67" i="5"/>
  <c r="V67" i="5"/>
  <c r="W67" i="5"/>
  <c r="X67" i="5"/>
  <c r="Y67" i="5"/>
  <c r="Z67" i="5"/>
  <c r="R68" i="5"/>
  <c r="S68" i="5"/>
  <c r="T68" i="5"/>
  <c r="U68" i="5"/>
  <c r="V68" i="5"/>
  <c r="W68" i="5"/>
  <c r="X68" i="5"/>
  <c r="Y68" i="5"/>
  <c r="Z68" i="5"/>
  <c r="R69" i="5"/>
  <c r="S69" i="5"/>
  <c r="T69" i="5"/>
  <c r="U69" i="5"/>
  <c r="V69" i="5"/>
  <c r="W69" i="5"/>
  <c r="X69" i="5"/>
  <c r="Y69" i="5"/>
  <c r="Z69" i="5"/>
  <c r="R70" i="5"/>
  <c r="S70" i="5"/>
  <c r="T70" i="5"/>
  <c r="U70" i="5"/>
  <c r="V70" i="5"/>
  <c r="W70" i="5"/>
  <c r="X70" i="5"/>
  <c r="Y70" i="5"/>
  <c r="Z70" i="5"/>
  <c r="R71" i="5"/>
  <c r="S71" i="5"/>
  <c r="T71" i="5"/>
  <c r="U71" i="5"/>
  <c r="V71" i="5"/>
  <c r="W71" i="5"/>
  <c r="X71" i="5"/>
  <c r="Y71" i="5"/>
  <c r="Z71" i="5"/>
  <c r="R72" i="5"/>
  <c r="S72" i="5"/>
  <c r="T72" i="5"/>
  <c r="U72" i="5"/>
  <c r="V72" i="5"/>
  <c r="W72" i="5"/>
  <c r="X72" i="5"/>
  <c r="Y72" i="5"/>
  <c r="Z72" i="5"/>
  <c r="R73" i="5"/>
  <c r="S73" i="5"/>
  <c r="T73" i="5"/>
  <c r="U73" i="5"/>
  <c r="V73" i="5"/>
  <c r="W73" i="5"/>
  <c r="X73" i="5"/>
  <c r="Y73" i="5"/>
  <c r="Z73" i="5"/>
  <c r="R74" i="5"/>
  <c r="S74" i="5"/>
  <c r="T74" i="5"/>
  <c r="U74" i="5"/>
  <c r="V74" i="5"/>
  <c r="W74" i="5"/>
  <c r="X74" i="5"/>
  <c r="Y74" i="5"/>
  <c r="Z74" i="5"/>
  <c r="R75" i="5"/>
  <c r="S75" i="5"/>
  <c r="T75" i="5"/>
  <c r="U75" i="5"/>
  <c r="V75" i="5"/>
  <c r="W75" i="5"/>
  <c r="X75" i="5"/>
  <c r="Y75" i="5"/>
  <c r="Z75" i="5"/>
  <c r="R76" i="5"/>
  <c r="S76" i="5"/>
  <c r="T76" i="5"/>
  <c r="U76" i="5"/>
  <c r="V76" i="5"/>
  <c r="W76" i="5"/>
  <c r="X76" i="5"/>
  <c r="Y76" i="5"/>
  <c r="Z76" i="5"/>
  <c r="R77" i="5"/>
  <c r="S77" i="5"/>
  <c r="T77" i="5"/>
  <c r="U77" i="5"/>
  <c r="V77" i="5"/>
  <c r="W77" i="5"/>
  <c r="X77" i="5"/>
  <c r="Y77" i="5"/>
  <c r="Z77" i="5"/>
  <c r="R78" i="5"/>
  <c r="S78" i="5"/>
  <c r="T78" i="5"/>
  <c r="U78" i="5"/>
  <c r="V78" i="5"/>
  <c r="W78" i="5"/>
  <c r="X78" i="5"/>
  <c r="Y78" i="5"/>
  <c r="Z78" i="5"/>
  <c r="R79" i="5"/>
  <c r="S79" i="5"/>
  <c r="T79" i="5"/>
  <c r="U79" i="5"/>
  <c r="V79" i="5"/>
  <c r="W79" i="5"/>
  <c r="X79" i="5"/>
  <c r="Y79" i="5"/>
  <c r="Z79" i="5"/>
  <c r="R80" i="5"/>
  <c r="S80" i="5"/>
  <c r="T80" i="5"/>
  <c r="U80" i="5"/>
  <c r="V80" i="5"/>
  <c r="W80" i="5"/>
  <c r="X80" i="5"/>
  <c r="Y80" i="5"/>
  <c r="Z80" i="5"/>
  <c r="R81" i="5"/>
  <c r="S81" i="5"/>
  <c r="T81" i="5"/>
  <c r="U81" i="5"/>
  <c r="V81" i="5"/>
  <c r="W81" i="5"/>
  <c r="X81" i="5"/>
  <c r="Y81" i="5"/>
  <c r="Z81" i="5"/>
  <c r="R82" i="5"/>
  <c r="S82" i="5"/>
  <c r="T82" i="5"/>
  <c r="U82" i="5"/>
  <c r="V82" i="5"/>
  <c r="W82" i="5"/>
  <c r="X82" i="5"/>
  <c r="Y82" i="5"/>
  <c r="Z82" i="5"/>
  <c r="R83" i="5"/>
  <c r="S83" i="5"/>
  <c r="T83" i="5"/>
  <c r="U83" i="5"/>
  <c r="V83" i="5"/>
  <c r="W83" i="5"/>
  <c r="X83" i="5"/>
  <c r="Y83" i="5"/>
  <c r="Z83" i="5"/>
  <c r="R84" i="5"/>
  <c r="S84" i="5"/>
  <c r="T84" i="5"/>
  <c r="U84" i="5"/>
  <c r="V84" i="5"/>
  <c r="W84" i="5"/>
  <c r="X84" i="5"/>
  <c r="Y84" i="5"/>
  <c r="Z84" i="5"/>
  <c r="R85" i="5"/>
  <c r="S85" i="5"/>
  <c r="T85" i="5"/>
  <c r="U85" i="5"/>
  <c r="V85" i="5"/>
  <c r="W85" i="5"/>
  <c r="X85" i="5"/>
  <c r="Y85" i="5"/>
  <c r="Z85" i="5"/>
  <c r="R86" i="5"/>
  <c r="S86" i="5"/>
  <c r="T86" i="5"/>
  <c r="U86" i="5"/>
  <c r="V86" i="5"/>
  <c r="W86" i="5"/>
  <c r="X86" i="5"/>
  <c r="Y86" i="5"/>
  <c r="Z86" i="5"/>
  <c r="R87" i="5"/>
  <c r="S87" i="5"/>
  <c r="T87" i="5"/>
  <c r="U87" i="5"/>
  <c r="V87" i="5"/>
  <c r="W87" i="5"/>
  <c r="X87" i="5"/>
  <c r="Y87" i="5"/>
  <c r="Z87" i="5"/>
  <c r="R88" i="5"/>
  <c r="S88" i="5"/>
  <c r="T88" i="5"/>
  <c r="U88" i="5"/>
  <c r="V88" i="5"/>
  <c r="W88" i="5"/>
  <c r="X88" i="5"/>
  <c r="Y88" i="5"/>
  <c r="Z88" i="5"/>
  <c r="R89" i="5"/>
  <c r="S89" i="5"/>
  <c r="T89" i="5"/>
  <c r="U89" i="5"/>
  <c r="V89" i="5"/>
  <c r="W89" i="5"/>
  <c r="X89" i="5"/>
  <c r="Y89" i="5"/>
  <c r="Z89" i="5"/>
  <c r="R90" i="5"/>
  <c r="S90" i="5"/>
  <c r="T90" i="5"/>
  <c r="U90" i="5"/>
  <c r="V90" i="5"/>
  <c r="W90" i="5"/>
  <c r="X90" i="5"/>
  <c r="Y90" i="5"/>
  <c r="Z90" i="5"/>
  <c r="R91" i="5"/>
  <c r="S91" i="5"/>
  <c r="T91" i="5"/>
  <c r="U91" i="5"/>
  <c r="V91" i="5"/>
  <c r="W91" i="5"/>
  <c r="X91" i="5"/>
  <c r="Y91" i="5"/>
  <c r="Z91" i="5"/>
  <c r="R92" i="5"/>
  <c r="S92" i="5"/>
  <c r="T92" i="5"/>
  <c r="U92" i="5"/>
  <c r="V92" i="5"/>
  <c r="W92" i="5"/>
  <c r="X92" i="5"/>
  <c r="Y92" i="5"/>
  <c r="Z92" i="5"/>
  <c r="R93" i="5"/>
  <c r="S93" i="5"/>
  <c r="T93" i="5"/>
  <c r="U93" i="5"/>
  <c r="V93" i="5"/>
  <c r="W93" i="5"/>
  <c r="X93" i="5"/>
  <c r="Y93" i="5"/>
  <c r="Z93" i="5"/>
  <c r="R94" i="5"/>
  <c r="S94" i="5"/>
  <c r="T94" i="5"/>
  <c r="U94" i="5"/>
  <c r="V94" i="5"/>
  <c r="W94" i="5"/>
  <c r="X94" i="5"/>
  <c r="Y94" i="5"/>
  <c r="Z94" i="5"/>
  <c r="R95" i="5"/>
  <c r="S95" i="5"/>
  <c r="T95" i="5"/>
  <c r="U95" i="5"/>
  <c r="V95" i="5"/>
  <c r="W95" i="5"/>
  <c r="X95" i="5"/>
  <c r="Y95" i="5"/>
  <c r="Z95" i="5"/>
  <c r="R96" i="5"/>
  <c r="S96" i="5"/>
  <c r="T96" i="5"/>
  <c r="U96" i="5"/>
  <c r="V96" i="5"/>
  <c r="W96" i="5"/>
  <c r="X96" i="5"/>
  <c r="Y96" i="5"/>
  <c r="Z96" i="5"/>
  <c r="R97" i="5"/>
  <c r="S97" i="5"/>
  <c r="T97" i="5"/>
  <c r="U97" i="5"/>
  <c r="V97" i="5"/>
  <c r="W97" i="5"/>
  <c r="X97" i="5"/>
  <c r="Y97" i="5"/>
  <c r="Z97" i="5"/>
  <c r="R98" i="5"/>
  <c r="S98" i="5"/>
  <c r="T98" i="5"/>
  <c r="U98" i="5"/>
  <c r="V98" i="5"/>
  <c r="W98" i="5"/>
  <c r="X98" i="5"/>
  <c r="Y98" i="5"/>
  <c r="Z98" i="5"/>
  <c r="R99" i="5"/>
  <c r="S99" i="5"/>
  <c r="T99" i="5"/>
  <c r="U99" i="5"/>
  <c r="V99" i="5"/>
  <c r="W99" i="5"/>
  <c r="X99" i="5"/>
  <c r="Y99" i="5"/>
  <c r="Z99" i="5"/>
  <c r="R100" i="5"/>
  <c r="S100" i="5"/>
  <c r="T100" i="5"/>
  <c r="U100" i="5"/>
  <c r="V100" i="5"/>
  <c r="W100" i="5"/>
  <c r="X100" i="5"/>
  <c r="Y100" i="5"/>
  <c r="Z100" i="5"/>
  <c r="R101" i="5"/>
  <c r="S101" i="5"/>
  <c r="T101" i="5"/>
  <c r="U101" i="5"/>
  <c r="V101" i="5"/>
  <c r="W101" i="5"/>
  <c r="X101" i="5"/>
  <c r="Y101" i="5"/>
  <c r="Z101" i="5"/>
  <c r="R102" i="5"/>
  <c r="S102" i="5"/>
  <c r="T102" i="5"/>
  <c r="U102" i="5"/>
  <c r="V102" i="5"/>
  <c r="W102" i="5"/>
  <c r="X102" i="5"/>
  <c r="Y102" i="5"/>
  <c r="Z102" i="5"/>
  <c r="R103" i="5"/>
  <c r="S103" i="5"/>
  <c r="T103" i="5"/>
  <c r="U103" i="5"/>
  <c r="V103" i="5"/>
  <c r="W103" i="5"/>
  <c r="X103" i="5"/>
  <c r="Y103" i="5"/>
  <c r="Z103" i="5"/>
  <c r="R104" i="5"/>
  <c r="S104" i="5"/>
  <c r="T104" i="5"/>
  <c r="U104" i="5"/>
  <c r="V104" i="5"/>
  <c r="W104" i="5"/>
  <c r="X104" i="5"/>
  <c r="Y104" i="5"/>
  <c r="Z104" i="5"/>
  <c r="R105" i="5"/>
  <c r="S105" i="5"/>
  <c r="T105" i="5"/>
  <c r="U105" i="5"/>
  <c r="V105" i="5"/>
  <c r="W105" i="5"/>
  <c r="X105" i="5"/>
  <c r="Y105" i="5"/>
  <c r="Z105" i="5"/>
  <c r="R106" i="5"/>
  <c r="S106" i="5"/>
  <c r="T106" i="5"/>
  <c r="U106" i="5"/>
  <c r="V106" i="5"/>
  <c r="W106" i="5"/>
  <c r="X106" i="5"/>
  <c r="Y106" i="5"/>
  <c r="Z106" i="5"/>
  <c r="R107" i="5"/>
  <c r="S107" i="5"/>
  <c r="T107" i="5"/>
  <c r="U107" i="5"/>
  <c r="V107" i="5"/>
  <c r="W107" i="5"/>
  <c r="X107" i="5"/>
  <c r="Y107" i="5"/>
  <c r="Z107" i="5"/>
  <c r="R108" i="5"/>
  <c r="S108" i="5"/>
  <c r="T108" i="5"/>
  <c r="U108" i="5"/>
  <c r="V108" i="5"/>
  <c r="W108" i="5"/>
  <c r="X108" i="5"/>
  <c r="Y108" i="5"/>
  <c r="Z108" i="5"/>
  <c r="R109" i="5"/>
  <c r="S109" i="5"/>
  <c r="T109" i="5"/>
  <c r="U109" i="5"/>
  <c r="V109" i="5"/>
  <c r="W109" i="5"/>
  <c r="X109" i="5"/>
  <c r="Y109" i="5"/>
  <c r="Z109" i="5"/>
  <c r="R110" i="5"/>
  <c r="S110" i="5"/>
  <c r="T110" i="5"/>
  <c r="U110" i="5"/>
  <c r="V110" i="5"/>
  <c r="W110" i="5"/>
  <c r="X110" i="5"/>
  <c r="Y110" i="5"/>
  <c r="Z110" i="5"/>
  <c r="R111" i="5"/>
  <c r="S111" i="5"/>
  <c r="T111" i="5"/>
  <c r="U111" i="5"/>
  <c r="V111" i="5"/>
  <c r="W111" i="5"/>
  <c r="X111" i="5"/>
  <c r="Y111" i="5"/>
  <c r="Z111" i="5"/>
  <c r="R112" i="5"/>
  <c r="S112" i="5"/>
  <c r="T112" i="5"/>
  <c r="U112" i="5"/>
  <c r="V112" i="5"/>
  <c r="W112" i="5"/>
  <c r="X112" i="5"/>
  <c r="Y112" i="5"/>
  <c r="Z112" i="5"/>
  <c r="R113" i="5"/>
  <c r="S113" i="5"/>
  <c r="T113" i="5"/>
  <c r="U113" i="5"/>
  <c r="V113" i="5"/>
  <c r="W113" i="5"/>
  <c r="X113" i="5"/>
  <c r="Y113" i="5"/>
  <c r="Z113" i="5"/>
  <c r="R114" i="5"/>
  <c r="S114" i="5"/>
  <c r="T114" i="5"/>
  <c r="U114" i="5"/>
  <c r="V114" i="5"/>
  <c r="W114" i="5"/>
  <c r="X114" i="5"/>
  <c r="Y114" i="5"/>
  <c r="Z114" i="5"/>
  <c r="R115" i="5"/>
  <c r="S115" i="5"/>
  <c r="T115" i="5"/>
  <c r="U115" i="5"/>
  <c r="V115" i="5"/>
  <c r="W115" i="5"/>
  <c r="X115" i="5"/>
  <c r="Y115" i="5"/>
  <c r="Z115" i="5"/>
  <c r="R116" i="5"/>
  <c r="S116" i="5"/>
  <c r="T116" i="5"/>
  <c r="U116" i="5"/>
  <c r="V116" i="5"/>
  <c r="W116" i="5"/>
  <c r="X116" i="5"/>
  <c r="Y116" i="5"/>
  <c r="Z116" i="5"/>
  <c r="R117" i="5"/>
  <c r="S117" i="5"/>
  <c r="T117" i="5"/>
  <c r="U117" i="5"/>
  <c r="V117" i="5"/>
  <c r="W117" i="5"/>
  <c r="X117" i="5"/>
  <c r="Y117" i="5"/>
  <c r="Z117" i="5"/>
  <c r="R118" i="5"/>
  <c r="S118" i="5"/>
  <c r="T118" i="5"/>
  <c r="U118" i="5"/>
  <c r="V118" i="5"/>
  <c r="W118" i="5"/>
  <c r="X118" i="5"/>
  <c r="Y118" i="5"/>
  <c r="Z118" i="5"/>
  <c r="R119" i="5"/>
  <c r="S119" i="5"/>
  <c r="T119" i="5"/>
  <c r="U119" i="5"/>
  <c r="V119" i="5"/>
  <c r="W119" i="5"/>
  <c r="X119" i="5"/>
  <c r="Y119" i="5"/>
  <c r="Z119" i="5"/>
  <c r="R120" i="5"/>
  <c r="S120" i="5"/>
  <c r="T120" i="5"/>
  <c r="U120" i="5"/>
  <c r="V120" i="5"/>
  <c r="W120" i="5"/>
  <c r="X120" i="5"/>
  <c r="Y120" i="5"/>
  <c r="Z120" i="5"/>
  <c r="R121" i="5"/>
  <c r="S121" i="5"/>
  <c r="T121" i="5"/>
  <c r="U121" i="5"/>
  <c r="V121" i="5"/>
  <c r="W121" i="5"/>
  <c r="X121" i="5"/>
  <c r="Y121" i="5"/>
  <c r="Z121" i="5"/>
  <c r="R122" i="5"/>
  <c r="S122" i="5"/>
  <c r="T122" i="5"/>
  <c r="U122" i="5"/>
  <c r="V122" i="5"/>
  <c r="W122" i="5"/>
  <c r="X122" i="5"/>
  <c r="Y122" i="5"/>
  <c r="Z122" i="5"/>
  <c r="R123" i="5"/>
  <c r="S123" i="5"/>
  <c r="T123" i="5"/>
  <c r="U123" i="5"/>
  <c r="V123" i="5"/>
  <c r="W123" i="5"/>
  <c r="X123" i="5"/>
  <c r="Y123" i="5"/>
  <c r="Z123" i="5"/>
  <c r="R124" i="5"/>
  <c r="S124" i="5"/>
  <c r="T124" i="5"/>
  <c r="U124" i="5"/>
  <c r="V124" i="5"/>
  <c r="W124" i="5"/>
  <c r="X124" i="5"/>
  <c r="Y124" i="5"/>
  <c r="Z124" i="5"/>
  <c r="R125" i="5"/>
  <c r="S125" i="5"/>
  <c r="T125" i="5"/>
  <c r="U125" i="5"/>
  <c r="V125" i="5"/>
  <c r="W125" i="5"/>
  <c r="X125" i="5"/>
  <c r="Y125" i="5"/>
  <c r="Z125" i="5"/>
  <c r="R126" i="5"/>
  <c r="S126" i="5"/>
  <c r="T126" i="5"/>
  <c r="U126" i="5"/>
  <c r="V126" i="5"/>
  <c r="W126" i="5"/>
  <c r="X126" i="5"/>
  <c r="Y126" i="5"/>
  <c r="Z126" i="5"/>
  <c r="R127" i="5"/>
  <c r="S127" i="5"/>
  <c r="T127" i="5"/>
  <c r="U127" i="5"/>
  <c r="V127" i="5"/>
  <c r="W127" i="5"/>
  <c r="X127" i="5"/>
  <c r="Y127" i="5"/>
  <c r="Z127" i="5"/>
  <c r="R128" i="5"/>
  <c r="S128" i="5"/>
  <c r="T128" i="5"/>
  <c r="U128" i="5"/>
  <c r="V128" i="5"/>
  <c r="W128" i="5"/>
  <c r="X128" i="5"/>
  <c r="Y128" i="5"/>
  <c r="Z128" i="5"/>
  <c r="R129" i="5"/>
  <c r="S129" i="5"/>
  <c r="T129" i="5"/>
  <c r="U129" i="5"/>
  <c r="V129" i="5"/>
  <c r="W129" i="5"/>
  <c r="X129" i="5"/>
  <c r="Y129" i="5"/>
  <c r="Z129" i="5"/>
  <c r="R130" i="5"/>
  <c r="S130" i="5"/>
  <c r="T130" i="5"/>
  <c r="U130" i="5"/>
  <c r="V130" i="5"/>
  <c r="W130" i="5"/>
  <c r="X130" i="5"/>
  <c r="Y130" i="5"/>
  <c r="Z130" i="5"/>
  <c r="R131" i="5"/>
  <c r="S131" i="5"/>
  <c r="T131" i="5"/>
  <c r="U131" i="5"/>
  <c r="V131" i="5"/>
  <c r="W131" i="5"/>
  <c r="X131" i="5"/>
  <c r="Y131" i="5"/>
  <c r="Z131" i="5"/>
  <c r="R132" i="5"/>
  <c r="S132" i="5"/>
  <c r="T132" i="5"/>
  <c r="U132" i="5"/>
  <c r="V132" i="5"/>
  <c r="W132" i="5"/>
  <c r="X132" i="5"/>
  <c r="Y132" i="5"/>
  <c r="Z132" i="5"/>
  <c r="R133" i="5"/>
  <c r="S133" i="5"/>
  <c r="T133" i="5"/>
  <c r="U133" i="5"/>
  <c r="V133" i="5"/>
  <c r="W133" i="5"/>
  <c r="X133" i="5"/>
  <c r="Y133" i="5"/>
  <c r="Z133" i="5"/>
  <c r="R134" i="5"/>
  <c r="S134" i="5"/>
  <c r="T134" i="5"/>
  <c r="U134" i="5"/>
  <c r="V134" i="5"/>
  <c r="W134" i="5"/>
  <c r="X134" i="5"/>
  <c r="Y134" i="5"/>
  <c r="Z134" i="5"/>
  <c r="R135" i="5"/>
  <c r="S135" i="5"/>
  <c r="T135" i="5"/>
  <c r="U135" i="5"/>
  <c r="V135" i="5"/>
  <c r="W135" i="5"/>
  <c r="X135" i="5"/>
  <c r="Y135" i="5"/>
  <c r="Z135" i="5"/>
  <c r="R136" i="5"/>
  <c r="S136" i="5"/>
  <c r="T136" i="5"/>
  <c r="U136" i="5"/>
  <c r="V136" i="5"/>
  <c r="W136" i="5"/>
  <c r="X136" i="5"/>
  <c r="Y136" i="5"/>
  <c r="Z136" i="5"/>
  <c r="R137" i="5"/>
  <c r="S137" i="5"/>
  <c r="T137" i="5"/>
  <c r="U137" i="5"/>
  <c r="V137" i="5"/>
  <c r="W137" i="5"/>
  <c r="X137" i="5"/>
  <c r="Y137" i="5"/>
  <c r="Z137" i="5"/>
  <c r="R138" i="5"/>
  <c r="S138" i="5"/>
  <c r="T138" i="5"/>
  <c r="U138" i="5"/>
  <c r="V138" i="5"/>
  <c r="W138" i="5"/>
  <c r="X138" i="5"/>
  <c r="Y138" i="5"/>
  <c r="Z138" i="5"/>
  <c r="R139" i="5"/>
  <c r="S139" i="5"/>
  <c r="T139" i="5"/>
  <c r="U139" i="5"/>
  <c r="V139" i="5"/>
  <c r="W139" i="5"/>
  <c r="X139" i="5"/>
  <c r="Y139" i="5"/>
  <c r="Z139" i="5"/>
  <c r="R140" i="5"/>
  <c r="S140" i="5"/>
  <c r="T140" i="5"/>
  <c r="U140" i="5"/>
  <c r="V140" i="5"/>
  <c r="W140" i="5"/>
  <c r="X140" i="5"/>
  <c r="Y140" i="5"/>
  <c r="Z140" i="5"/>
  <c r="R141" i="5"/>
  <c r="S141" i="5"/>
  <c r="T141" i="5"/>
  <c r="U141" i="5"/>
  <c r="V141" i="5"/>
  <c r="W141" i="5"/>
  <c r="X141" i="5"/>
  <c r="Y141" i="5"/>
  <c r="Z141" i="5"/>
  <c r="R142" i="5"/>
  <c r="S142" i="5"/>
  <c r="T142" i="5"/>
  <c r="U142" i="5"/>
  <c r="V142" i="5"/>
  <c r="W142" i="5"/>
  <c r="X142" i="5"/>
  <c r="Y142" i="5"/>
  <c r="Z142" i="5"/>
  <c r="R143" i="5"/>
  <c r="S143" i="5"/>
  <c r="T143" i="5"/>
  <c r="U143" i="5"/>
  <c r="V143" i="5"/>
  <c r="W143" i="5"/>
  <c r="X143" i="5"/>
  <c r="Y143" i="5"/>
  <c r="Z143" i="5"/>
  <c r="R144" i="5"/>
  <c r="S144" i="5"/>
  <c r="T144" i="5"/>
  <c r="U144" i="5"/>
  <c r="V144" i="5"/>
  <c r="W144" i="5"/>
  <c r="X144" i="5"/>
  <c r="Y144" i="5"/>
  <c r="Z144" i="5"/>
  <c r="R145" i="5"/>
  <c r="S145" i="5"/>
  <c r="T145" i="5"/>
  <c r="U145" i="5"/>
  <c r="V145" i="5"/>
  <c r="W145" i="5"/>
  <c r="X145" i="5"/>
  <c r="Y145" i="5"/>
  <c r="Z145" i="5"/>
  <c r="R146" i="5"/>
  <c r="S146" i="5"/>
  <c r="T146" i="5"/>
  <c r="U146" i="5"/>
  <c r="V146" i="5"/>
  <c r="W146" i="5"/>
  <c r="X146" i="5"/>
  <c r="Y146" i="5"/>
  <c r="Z146" i="5"/>
  <c r="R147" i="5"/>
  <c r="S147" i="5"/>
  <c r="T147" i="5"/>
  <c r="U147" i="5"/>
  <c r="V147" i="5"/>
  <c r="W147" i="5"/>
  <c r="X147" i="5"/>
  <c r="Y147" i="5"/>
  <c r="Z147" i="5"/>
  <c r="R148" i="5"/>
  <c r="S148" i="5"/>
  <c r="T148" i="5"/>
  <c r="U148" i="5"/>
  <c r="V148" i="5"/>
  <c r="W148" i="5"/>
  <c r="X148" i="5"/>
  <c r="Y148" i="5"/>
  <c r="Z148" i="5"/>
  <c r="R149" i="5"/>
  <c r="S149" i="5"/>
  <c r="T149" i="5"/>
  <c r="U149" i="5"/>
  <c r="V149" i="5"/>
  <c r="W149" i="5"/>
  <c r="X149" i="5"/>
  <c r="Y149" i="5"/>
  <c r="Z149" i="5"/>
  <c r="R150" i="5"/>
  <c r="S150" i="5"/>
  <c r="T150" i="5"/>
  <c r="U150" i="5"/>
  <c r="V150" i="5"/>
  <c r="W150" i="5"/>
  <c r="X150" i="5"/>
  <c r="Y150" i="5"/>
  <c r="Z150" i="5"/>
  <c r="R151" i="5"/>
  <c r="S151" i="5"/>
  <c r="T151" i="5"/>
  <c r="U151" i="5"/>
  <c r="V151" i="5"/>
  <c r="W151" i="5"/>
  <c r="X151" i="5"/>
  <c r="Y151" i="5"/>
  <c r="Z151" i="5"/>
  <c r="R152" i="5"/>
  <c r="S152" i="5"/>
  <c r="T152" i="5"/>
  <c r="U152" i="5"/>
  <c r="V152" i="5"/>
  <c r="W152" i="5"/>
  <c r="X152" i="5"/>
  <c r="Y152" i="5"/>
  <c r="Z152" i="5"/>
  <c r="R153" i="5"/>
  <c r="S153" i="5"/>
  <c r="T153" i="5"/>
  <c r="U153" i="5"/>
  <c r="V153" i="5"/>
  <c r="W153" i="5"/>
  <c r="X153" i="5"/>
  <c r="Y153" i="5"/>
  <c r="Z153" i="5"/>
  <c r="R154" i="5"/>
  <c r="S154" i="5"/>
  <c r="T154" i="5"/>
  <c r="U154" i="5"/>
  <c r="V154" i="5"/>
  <c r="W154" i="5"/>
  <c r="X154" i="5"/>
  <c r="Y154" i="5"/>
  <c r="Z154" i="5"/>
  <c r="R155" i="5"/>
  <c r="S155" i="5"/>
  <c r="T155" i="5"/>
  <c r="U155" i="5"/>
  <c r="V155" i="5"/>
  <c r="W155" i="5"/>
  <c r="X155" i="5"/>
  <c r="Y155" i="5"/>
  <c r="Z155" i="5"/>
  <c r="R156" i="5"/>
  <c r="S156" i="5"/>
  <c r="T156" i="5"/>
  <c r="U156" i="5"/>
  <c r="V156" i="5"/>
  <c r="W156" i="5"/>
  <c r="X156" i="5"/>
  <c r="Y156" i="5"/>
  <c r="Z156" i="5"/>
  <c r="R157" i="5"/>
  <c r="S157" i="5"/>
  <c r="T157" i="5"/>
  <c r="U157" i="5"/>
  <c r="V157" i="5"/>
  <c r="W157" i="5"/>
  <c r="X157" i="5"/>
  <c r="Y157" i="5"/>
  <c r="Z157" i="5"/>
  <c r="R158" i="5"/>
  <c r="S158" i="5"/>
  <c r="T158" i="5"/>
  <c r="U158" i="5"/>
  <c r="V158" i="5"/>
  <c r="W158" i="5"/>
  <c r="X158" i="5"/>
  <c r="Y158" i="5"/>
  <c r="Z158" i="5"/>
  <c r="R159" i="5"/>
  <c r="S159" i="5"/>
  <c r="T159" i="5"/>
  <c r="U159" i="5"/>
  <c r="V159" i="5"/>
  <c r="W159" i="5"/>
  <c r="X159" i="5"/>
  <c r="Y159" i="5"/>
  <c r="Z159" i="5"/>
  <c r="Q112" i="5"/>
  <c r="Q113" i="5"/>
  <c r="Q114" i="5"/>
  <c r="Q115" i="5"/>
  <c r="Q116" i="5"/>
  <c r="Q117" i="5"/>
  <c r="Q118" i="5"/>
  <c r="Q119" i="5"/>
  <c r="Q120" i="5"/>
  <c r="Q121" i="5"/>
  <c r="Q122" i="5"/>
  <c r="Q123" i="5"/>
  <c r="Q124" i="5"/>
  <c r="Q125" i="5"/>
  <c r="Q126" i="5"/>
  <c r="Q127" i="5"/>
  <c r="Q128" i="5"/>
  <c r="Q129" i="5"/>
  <c r="Q130" i="5"/>
  <c r="Q131" i="5"/>
  <c r="Q132" i="5"/>
  <c r="Q133" i="5"/>
  <c r="Q134" i="5"/>
  <c r="Q135" i="5"/>
  <c r="Q136" i="5"/>
  <c r="Q137" i="5"/>
  <c r="Q138" i="5"/>
  <c r="Q139" i="5"/>
  <c r="Q140" i="5"/>
  <c r="Q141" i="5"/>
  <c r="Q142" i="5"/>
  <c r="Q143" i="5"/>
  <c r="Q144" i="5"/>
  <c r="Q145" i="5"/>
  <c r="Q146" i="5"/>
  <c r="Q147" i="5"/>
  <c r="Q148" i="5"/>
  <c r="Q149" i="5"/>
  <c r="Q150" i="5"/>
  <c r="Q151" i="5"/>
  <c r="Q152" i="5"/>
  <c r="Q153" i="5"/>
  <c r="Q154" i="5"/>
  <c r="Q155" i="5"/>
  <c r="Q156" i="5"/>
  <c r="Q157" i="5"/>
  <c r="Q158" i="5"/>
  <c r="Q159" i="5"/>
  <c r="G131" i="2"/>
  <c r="H131" i="2"/>
  <c r="I131" i="2"/>
  <c r="J131" i="2"/>
  <c r="K131" i="2"/>
  <c r="L131" i="2"/>
  <c r="M131" i="2"/>
  <c r="N131" i="2"/>
  <c r="G132" i="2"/>
  <c r="H132" i="2"/>
  <c r="I132" i="2"/>
  <c r="J132" i="2"/>
  <c r="K132" i="2"/>
  <c r="L132" i="2"/>
  <c r="M132" i="2"/>
  <c r="N132" i="2"/>
  <c r="G133" i="2"/>
  <c r="H133" i="2"/>
  <c r="I133" i="2"/>
  <c r="J133" i="2"/>
  <c r="K133" i="2"/>
  <c r="L133" i="2"/>
  <c r="M133" i="2"/>
  <c r="N133" i="2"/>
  <c r="G134" i="2"/>
  <c r="H134" i="2"/>
  <c r="I134" i="2"/>
  <c r="J134" i="2"/>
  <c r="K134" i="2"/>
  <c r="L134" i="2"/>
  <c r="M134" i="2"/>
  <c r="N134" i="2"/>
  <c r="G135" i="2"/>
  <c r="H135" i="2"/>
  <c r="I135" i="2"/>
  <c r="J135" i="2"/>
  <c r="K135" i="2"/>
  <c r="L135" i="2"/>
  <c r="M135" i="2"/>
  <c r="N135" i="2"/>
  <c r="G136" i="2"/>
  <c r="H136" i="2"/>
  <c r="I136" i="2"/>
  <c r="J136" i="2"/>
  <c r="K136" i="2"/>
  <c r="L136" i="2"/>
  <c r="M136" i="2"/>
  <c r="N136" i="2"/>
  <c r="G137" i="2"/>
  <c r="H137" i="2"/>
  <c r="I137" i="2"/>
  <c r="J137" i="2"/>
  <c r="K137" i="2"/>
  <c r="L137" i="2"/>
  <c r="M137" i="2"/>
  <c r="N137" i="2"/>
  <c r="G138" i="2"/>
  <c r="H138" i="2"/>
  <c r="I138" i="2"/>
  <c r="J138" i="2"/>
  <c r="K138" i="2"/>
  <c r="L138" i="2"/>
  <c r="M138" i="2"/>
  <c r="N138" i="2"/>
  <c r="G139" i="2"/>
  <c r="H139" i="2"/>
  <c r="I139" i="2"/>
  <c r="J139" i="2"/>
  <c r="K139" i="2"/>
  <c r="L139" i="2"/>
  <c r="M139" i="2"/>
  <c r="N139" i="2"/>
  <c r="G140" i="2"/>
  <c r="H140" i="2"/>
  <c r="I140" i="2"/>
  <c r="J140" i="2"/>
  <c r="K140" i="2"/>
  <c r="L140" i="2"/>
  <c r="M140" i="2"/>
  <c r="N140" i="2"/>
  <c r="G141" i="2"/>
  <c r="H141" i="2"/>
  <c r="I141" i="2"/>
  <c r="J141" i="2"/>
  <c r="K141" i="2"/>
  <c r="L141" i="2"/>
  <c r="M141" i="2"/>
  <c r="N141" i="2"/>
  <c r="G142" i="2"/>
  <c r="H142" i="2"/>
  <c r="I142" i="2"/>
  <c r="J142" i="2"/>
  <c r="K142" i="2"/>
  <c r="L142" i="2"/>
  <c r="M142" i="2"/>
  <c r="N142" i="2"/>
  <c r="G143" i="2"/>
  <c r="H143" i="2"/>
  <c r="I143" i="2"/>
  <c r="J143" i="2"/>
  <c r="K143" i="2"/>
  <c r="L143" i="2"/>
  <c r="M143" i="2"/>
  <c r="N143" i="2"/>
  <c r="G144" i="2"/>
  <c r="H144" i="2"/>
  <c r="I144" i="2"/>
  <c r="J144" i="2"/>
  <c r="K144" i="2"/>
  <c r="L144" i="2"/>
  <c r="M144" i="2"/>
  <c r="N144" i="2"/>
  <c r="G145" i="2"/>
  <c r="H145" i="2"/>
  <c r="I145" i="2"/>
  <c r="J145" i="2"/>
  <c r="K145" i="2"/>
  <c r="L145" i="2"/>
  <c r="M145" i="2"/>
  <c r="N145" i="2"/>
  <c r="G146" i="2"/>
  <c r="H146" i="2"/>
  <c r="I146" i="2"/>
  <c r="J146" i="2"/>
  <c r="K146" i="2"/>
  <c r="L146" i="2"/>
  <c r="M146" i="2"/>
  <c r="N146" i="2"/>
  <c r="G147" i="2"/>
  <c r="H147" i="2"/>
  <c r="I147" i="2"/>
  <c r="J147" i="2"/>
  <c r="K147" i="2"/>
  <c r="L147" i="2"/>
  <c r="M147" i="2"/>
  <c r="N147" i="2"/>
  <c r="G148" i="2"/>
  <c r="H148" i="2"/>
  <c r="I148" i="2"/>
  <c r="J148" i="2"/>
  <c r="K148" i="2"/>
  <c r="L148" i="2"/>
  <c r="M148" i="2"/>
  <c r="N148" i="2"/>
  <c r="G149" i="2"/>
  <c r="H149" i="2"/>
  <c r="I149" i="2"/>
  <c r="J149" i="2"/>
  <c r="K149" i="2"/>
  <c r="L149" i="2"/>
  <c r="M149" i="2"/>
  <c r="N149" i="2"/>
  <c r="G150" i="2"/>
  <c r="H150" i="2"/>
  <c r="I150" i="2"/>
  <c r="J150" i="2"/>
  <c r="K150" i="2"/>
  <c r="L150" i="2"/>
  <c r="M150" i="2"/>
  <c r="N150" i="2"/>
  <c r="G151" i="2"/>
  <c r="H151" i="2"/>
  <c r="I151" i="2"/>
  <c r="J151" i="2"/>
  <c r="K151" i="2"/>
  <c r="L151" i="2"/>
  <c r="M151" i="2"/>
  <c r="N151" i="2"/>
  <c r="G152" i="2"/>
  <c r="H152" i="2"/>
  <c r="I152" i="2"/>
  <c r="J152" i="2"/>
  <c r="K152" i="2"/>
  <c r="L152" i="2"/>
  <c r="M152" i="2"/>
  <c r="N152" i="2"/>
  <c r="G153" i="2"/>
  <c r="H153" i="2"/>
  <c r="I153" i="2"/>
  <c r="J153" i="2"/>
  <c r="K153" i="2"/>
  <c r="L153" i="2"/>
  <c r="M153" i="2"/>
  <c r="N153" i="2"/>
  <c r="G154" i="2"/>
  <c r="H154" i="2"/>
  <c r="I154" i="2"/>
  <c r="J154" i="2"/>
  <c r="K154" i="2"/>
  <c r="L154" i="2"/>
  <c r="M154" i="2"/>
  <c r="N154" i="2"/>
  <c r="G155" i="2"/>
  <c r="H155" i="2"/>
  <c r="I155" i="2"/>
  <c r="J155" i="2"/>
  <c r="K155" i="2"/>
  <c r="L155" i="2"/>
  <c r="M155" i="2"/>
  <c r="N155" i="2"/>
  <c r="G156" i="2"/>
  <c r="H156" i="2"/>
  <c r="I156" i="2"/>
  <c r="J156" i="2"/>
  <c r="K156" i="2"/>
  <c r="L156" i="2"/>
  <c r="M156" i="2"/>
  <c r="N156" i="2"/>
  <c r="G157" i="2"/>
  <c r="H157" i="2"/>
  <c r="I157" i="2"/>
  <c r="J157" i="2"/>
  <c r="K157" i="2"/>
  <c r="L157" i="2"/>
  <c r="M157" i="2"/>
  <c r="N157" i="2"/>
  <c r="G158" i="2"/>
  <c r="H158" i="2"/>
  <c r="I158" i="2"/>
  <c r="J158" i="2"/>
  <c r="K158" i="2"/>
  <c r="L158" i="2"/>
  <c r="M158" i="2"/>
  <c r="N158" i="2"/>
  <c r="F159" i="2"/>
  <c r="G159" i="2"/>
  <c r="H159" i="2"/>
  <c r="I159" i="2"/>
  <c r="J159" i="2"/>
  <c r="K159" i="2"/>
  <c r="L159" i="2"/>
  <c r="M159" i="2"/>
  <c r="N159" i="2"/>
  <c r="F160" i="2"/>
  <c r="G160" i="2"/>
  <c r="H160" i="2"/>
  <c r="I160" i="2"/>
  <c r="J160" i="2"/>
  <c r="K160" i="2"/>
  <c r="L160" i="2"/>
  <c r="M160" i="2"/>
  <c r="N160" i="2"/>
  <c r="F161" i="2"/>
  <c r="G161" i="2"/>
  <c r="H161" i="2"/>
  <c r="I161" i="2"/>
  <c r="J161" i="2"/>
  <c r="K161" i="2"/>
  <c r="L161" i="2"/>
  <c r="M161" i="2"/>
  <c r="N161" i="2"/>
  <c r="F162" i="2"/>
  <c r="G162" i="2"/>
  <c r="H162" i="2"/>
  <c r="I162" i="2"/>
  <c r="J162" i="2"/>
  <c r="K162" i="2"/>
  <c r="L162" i="2"/>
  <c r="M162" i="2"/>
  <c r="N162" i="2"/>
  <c r="F163" i="2"/>
  <c r="G163" i="2"/>
  <c r="H163" i="2"/>
  <c r="I163" i="2"/>
  <c r="J163" i="2"/>
  <c r="K163" i="2"/>
  <c r="L163" i="2"/>
  <c r="M163" i="2"/>
  <c r="N163" i="2"/>
  <c r="F164" i="2"/>
  <c r="G164" i="2"/>
  <c r="H164" i="2"/>
  <c r="I164" i="2"/>
  <c r="J164" i="2"/>
  <c r="K164" i="2"/>
  <c r="L164" i="2"/>
  <c r="M164" i="2"/>
  <c r="N164" i="2"/>
  <c r="F165" i="2"/>
  <c r="G165" i="2"/>
  <c r="H165" i="2"/>
  <c r="I165" i="2"/>
  <c r="J165" i="2"/>
  <c r="K165" i="2"/>
  <c r="L165" i="2"/>
  <c r="M165" i="2"/>
  <c r="N165" i="2"/>
  <c r="F166" i="2"/>
  <c r="G166" i="2"/>
  <c r="H166" i="2"/>
  <c r="I166" i="2"/>
  <c r="J166" i="2"/>
  <c r="K166" i="2"/>
  <c r="L166" i="2"/>
  <c r="M166" i="2"/>
  <c r="N166" i="2"/>
  <c r="F167" i="2"/>
  <c r="G167" i="2"/>
  <c r="H167" i="2"/>
  <c r="I167" i="2"/>
  <c r="J167" i="2"/>
  <c r="K167" i="2"/>
  <c r="L167" i="2"/>
  <c r="M167" i="2"/>
  <c r="N167" i="2"/>
  <c r="F168" i="2"/>
  <c r="G168" i="2"/>
  <c r="H168" i="2"/>
  <c r="I168" i="2"/>
  <c r="J168" i="2"/>
  <c r="K168" i="2"/>
  <c r="L168" i="2"/>
  <c r="M168" i="2"/>
  <c r="N168" i="2"/>
  <c r="F169" i="2"/>
  <c r="G169" i="2"/>
  <c r="H169" i="2"/>
  <c r="I169" i="2"/>
  <c r="J169" i="2"/>
  <c r="K169" i="2"/>
  <c r="L169" i="2"/>
  <c r="M169" i="2"/>
  <c r="N169" i="2"/>
  <c r="F170" i="2"/>
  <c r="G170" i="2"/>
  <c r="H170" i="2"/>
  <c r="I170" i="2"/>
  <c r="J170" i="2"/>
  <c r="K170" i="2"/>
  <c r="L170" i="2"/>
  <c r="M170" i="2"/>
  <c r="N170" i="2"/>
  <c r="F171" i="2"/>
  <c r="G171" i="2"/>
  <c r="H171" i="2"/>
  <c r="I171" i="2"/>
  <c r="J171" i="2"/>
  <c r="K171" i="2"/>
  <c r="L171" i="2"/>
  <c r="M171" i="2"/>
  <c r="N171" i="2"/>
  <c r="F172" i="2"/>
  <c r="G172" i="2"/>
  <c r="H172" i="2"/>
  <c r="I172" i="2"/>
  <c r="J172" i="2"/>
  <c r="K172" i="2"/>
  <c r="L172" i="2"/>
  <c r="M172" i="2"/>
  <c r="N172" i="2"/>
  <c r="F173" i="2"/>
  <c r="G173" i="2"/>
  <c r="H173" i="2"/>
  <c r="I173" i="2"/>
  <c r="J173" i="2"/>
  <c r="K173" i="2"/>
  <c r="L173" i="2"/>
  <c r="M173" i="2"/>
  <c r="N173" i="2"/>
  <c r="F174" i="2"/>
  <c r="G174" i="2"/>
  <c r="H174" i="2"/>
  <c r="I174" i="2"/>
  <c r="J174" i="2"/>
  <c r="K174" i="2"/>
  <c r="L174" i="2"/>
  <c r="M174" i="2"/>
  <c r="N174" i="2"/>
  <c r="F175" i="2"/>
  <c r="G175" i="2"/>
  <c r="H175" i="2"/>
  <c r="I175" i="2"/>
  <c r="J175" i="2"/>
  <c r="K175" i="2"/>
  <c r="L175" i="2"/>
  <c r="M175" i="2"/>
  <c r="N175" i="2"/>
  <c r="F176" i="2"/>
  <c r="G176" i="2"/>
  <c r="H176" i="2"/>
  <c r="I176" i="2"/>
  <c r="J176" i="2"/>
  <c r="K176" i="2"/>
  <c r="L176" i="2"/>
  <c r="M176" i="2"/>
  <c r="N176" i="2"/>
  <c r="F177" i="2"/>
  <c r="G177" i="2"/>
  <c r="H177" i="2"/>
  <c r="I177" i="2"/>
  <c r="J177" i="2"/>
  <c r="K177" i="2"/>
  <c r="L177" i="2"/>
  <c r="M177" i="2"/>
  <c r="N177" i="2"/>
  <c r="F178" i="2"/>
  <c r="G178" i="2"/>
  <c r="H178" i="2"/>
  <c r="I178" i="2"/>
  <c r="J178" i="2"/>
  <c r="K178" i="2"/>
  <c r="L178" i="2"/>
  <c r="M178" i="2"/>
  <c r="N178" i="2"/>
  <c r="F179" i="2"/>
  <c r="G179" i="2"/>
  <c r="H179" i="2"/>
  <c r="I179" i="2"/>
  <c r="J179" i="2"/>
  <c r="K179" i="2"/>
  <c r="L179" i="2"/>
  <c r="M179" i="2"/>
  <c r="N179" i="2"/>
  <c r="F180" i="2"/>
  <c r="G180" i="2"/>
  <c r="H180" i="2"/>
  <c r="I180" i="2"/>
  <c r="J180" i="2"/>
  <c r="K180" i="2"/>
  <c r="L180" i="2"/>
  <c r="M180" i="2"/>
  <c r="N180" i="2"/>
  <c r="F181" i="2"/>
  <c r="G181" i="2"/>
  <c r="H181" i="2"/>
  <c r="I181" i="2"/>
  <c r="J181" i="2"/>
  <c r="K181" i="2"/>
  <c r="L181" i="2"/>
  <c r="M181" i="2"/>
  <c r="N181" i="2"/>
  <c r="F182" i="2"/>
  <c r="G182" i="2"/>
  <c r="H182" i="2"/>
  <c r="I182" i="2"/>
  <c r="J182" i="2"/>
  <c r="K182" i="2"/>
  <c r="L182" i="2"/>
  <c r="M182" i="2"/>
  <c r="N182" i="2"/>
  <c r="F183" i="2"/>
  <c r="G183" i="2"/>
  <c r="H183" i="2"/>
  <c r="I183" i="2"/>
  <c r="J183" i="2"/>
  <c r="K183" i="2"/>
  <c r="L183" i="2"/>
  <c r="M183" i="2"/>
  <c r="N183" i="2"/>
  <c r="F184" i="2"/>
  <c r="G184" i="2"/>
  <c r="H184" i="2"/>
  <c r="I184" i="2"/>
  <c r="J184" i="2"/>
  <c r="K184" i="2"/>
  <c r="L184" i="2"/>
  <c r="M184" i="2"/>
  <c r="N184" i="2"/>
  <c r="F185" i="2"/>
  <c r="G185" i="2"/>
  <c r="H185" i="2"/>
  <c r="I185" i="2"/>
  <c r="J185" i="2"/>
  <c r="K185" i="2"/>
  <c r="L185" i="2"/>
  <c r="M185" i="2"/>
  <c r="N185" i="2"/>
  <c r="F186" i="2"/>
  <c r="G186" i="2"/>
  <c r="H186" i="2"/>
  <c r="I186" i="2"/>
  <c r="J186" i="2"/>
  <c r="K186" i="2"/>
  <c r="L186" i="2"/>
  <c r="M186" i="2"/>
  <c r="N186" i="2"/>
  <c r="F187" i="2"/>
  <c r="G187" i="2"/>
  <c r="H187" i="2"/>
  <c r="I187" i="2"/>
  <c r="J187" i="2"/>
  <c r="K187" i="2"/>
  <c r="L187" i="2"/>
  <c r="M187" i="2"/>
  <c r="N187" i="2"/>
  <c r="F188" i="2"/>
  <c r="G188" i="2"/>
  <c r="H188" i="2"/>
  <c r="I188" i="2"/>
  <c r="J188" i="2"/>
  <c r="K188" i="2"/>
  <c r="L188" i="2"/>
  <c r="M188" i="2"/>
  <c r="N188" i="2"/>
  <c r="F189" i="2"/>
  <c r="G189" i="2"/>
  <c r="H189" i="2"/>
  <c r="I189" i="2"/>
  <c r="J189" i="2"/>
  <c r="K189" i="2"/>
  <c r="L189" i="2"/>
  <c r="M189" i="2"/>
  <c r="N189" i="2"/>
  <c r="F190" i="2"/>
  <c r="G190" i="2"/>
  <c r="H190" i="2"/>
  <c r="I190" i="2"/>
  <c r="J190" i="2"/>
  <c r="K190" i="2"/>
  <c r="L190" i="2"/>
  <c r="M190" i="2"/>
  <c r="N190" i="2"/>
  <c r="F191" i="2"/>
  <c r="G191" i="2"/>
  <c r="H191" i="2"/>
  <c r="I191" i="2"/>
  <c r="J191" i="2"/>
  <c r="K191" i="2"/>
  <c r="L191" i="2"/>
  <c r="M191" i="2"/>
  <c r="N191" i="2"/>
  <c r="F192" i="2"/>
  <c r="G192" i="2"/>
  <c r="H192" i="2"/>
  <c r="I192" i="2"/>
  <c r="J192" i="2"/>
  <c r="K192" i="2"/>
  <c r="L192" i="2"/>
  <c r="M192" i="2"/>
  <c r="N192" i="2"/>
  <c r="F193" i="2"/>
  <c r="G193" i="2"/>
  <c r="H193" i="2"/>
  <c r="I193" i="2"/>
  <c r="J193" i="2"/>
  <c r="K193" i="2"/>
  <c r="L193" i="2"/>
  <c r="M193" i="2"/>
  <c r="N193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46" i="2"/>
  <c r="AP115" i="2"/>
  <c r="AQ115" i="2"/>
  <c r="AR115" i="2"/>
  <c r="AS115" i="2"/>
  <c r="AT115" i="2"/>
  <c r="AU115" i="2"/>
  <c r="AV115" i="2"/>
  <c r="AW115" i="2"/>
  <c r="AX115" i="2"/>
  <c r="AY115" i="2"/>
  <c r="AP116" i="2"/>
  <c r="AQ116" i="2"/>
  <c r="AR116" i="2"/>
  <c r="AS116" i="2"/>
  <c r="AT116" i="2"/>
  <c r="AU116" i="2"/>
  <c r="AV116" i="2"/>
  <c r="AW116" i="2"/>
  <c r="AX116" i="2"/>
  <c r="AY116" i="2"/>
  <c r="AP117" i="2"/>
  <c r="AQ117" i="2"/>
  <c r="AR117" i="2"/>
  <c r="AS117" i="2"/>
  <c r="AT117" i="2"/>
  <c r="AU117" i="2"/>
  <c r="AV117" i="2"/>
  <c r="AW117" i="2"/>
  <c r="AX117" i="2"/>
  <c r="AY117" i="2"/>
  <c r="AP118" i="2"/>
  <c r="AQ118" i="2"/>
  <c r="AR118" i="2"/>
  <c r="AS118" i="2"/>
  <c r="AT118" i="2"/>
  <c r="AU118" i="2"/>
  <c r="AV118" i="2"/>
  <c r="AW118" i="2"/>
  <c r="AX118" i="2"/>
  <c r="AY118" i="2"/>
  <c r="AP119" i="2"/>
  <c r="AQ119" i="2"/>
  <c r="AR119" i="2"/>
  <c r="AS119" i="2"/>
  <c r="AT119" i="2"/>
  <c r="AU119" i="2"/>
  <c r="AV119" i="2"/>
  <c r="AW119" i="2"/>
  <c r="AX119" i="2"/>
  <c r="AY119" i="2"/>
  <c r="AP120" i="2"/>
  <c r="AQ120" i="2"/>
  <c r="AR120" i="2"/>
  <c r="AS120" i="2"/>
  <c r="AT120" i="2"/>
  <c r="AU120" i="2"/>
  <c r="AV120" i="2"/>
  <c r="AW120" i="2"/>
  <c r="AX120" i="2"/>
  <c r="AY120" i="2"/>
  <c r="AP121" i="2"/>
  <c r="AQ121" i="2"/>
  <c r="AR121" i="2"/>
  <c r="AS121" i="2"/>
  <c r="AT121" i="2"/>
  <c r="AU121" i="2"/>
  <c r="AV121" i="2"/>
  <c r="AW121" i="2"/>
  <c r="AX121" i="2"/>
  <c r="AY121" i="2"/>
  <c r="AP122" i="2"/>
  <c r="AQ122" i="2"/>
  <c r="AR122" i="2"/>
  <c r="AS122" i="2"/>
  <c r="AT122" i="2"/>
  <c r="AU122" i="2"/>
  <c r="AV122" i="2"/>
  <c r="AW122" i="2"/>
  <c r="AX122" i="2"/>
  <c r="AY122" i="2"/>
  <c r="AP123" i="2"/>
  <c r="AQ123" i="2"/>
  <c r="AR123" i="2"/>
  <c r="AS123" i="2"/>
  <c r="AT123" i="2"/>
  <c r="AU123" i="2"/>
  <c r="AV123" i="2"/>
  <c r="AW123" i="2"/>
  <c r="AX123" i="2"/>
  <c r="AY123" i="2"/>
  <c r="AP124" i="2"/>
  <c r="AQ124" i="2"/>
  <c r="AR124" i="2"/>
  <c r="AS124" i="2"/>
  <c r="AT124" i="2"/>
  <c r="AU124" i="2"/>
  <c r="AV124" i="2"/>
  <c r="AW124" i="2"/>
  <c r="AX124" i="2"/>
  <c r="AY124" i="2"/>
  <c r="AP125" i="2"/>
  <c r="AQ125" i="2"/>
  <c r="AR125" i="2"/>
  <c r="AS125" i="2"/>
  <c r="AT125" i="2"/>
  <c r="AU125" i="2"/>
  <c r="AV125" i="2"/>
  <c r="AW125" i="2"/>
  <c r="AX125" i="2"/>
  <c r="AY125" i="2"/>
  <c r="AP126" i="2"/>
  <c r="AQ126" i="2"/>
  <c r="AR126" i="2"/>
  <c r="AS126" i="2"/>
  <c r="AT126" i="2"/>
  <c r="AU126" i="2"/>
  <c r="AV126" i="2"/>
  <c r="AW126" i="2"/>
  <c r="AX126" i="2"/>
  <c r="AY126" i="2"/>
  <c r="AP127" i="2"/>
  <c r="AQ127" i="2"/>
  <c r="AR127" i="2"/>
  <c r="AS127" i="2"/>
  <c r="AT127" i="2"/>
  <c r="AU127" i="2"/>
  <c r="AV127" i="2"/>
  <c r="AW127" i="2"/>
  <c r="AX127" i="2"/>
  <c r="AY127" i="2"/>
  <c r="AP128" i="2"/>
  <c r="AQ128" i="2"/>
  <c r="AR128" i="2"/>
  <c r="AS128" i="2"/>
  <c r="AT128" i="2"/>
  <c r="AU128" i="2"/>
  <c r="AV128" i="2"/>
  <c r="AW128" i="2"/>
  <c r="AX128" i="2"/>
  <c r="AY128" i="2"/>
  <c r="AP129" i="2"/>
  <c r="AQ129" i="2"/>
  <c r="AR129" i="2"/>
  <c r="AS129" i="2"/>
  <c r="AT129" i="2"/>
  <c r="AU129" i="2"/>
  <c r="AV129" i="2"/>
  <c r="AW129" i="2"/>
  <c r="AX129" i="2"/>
  <c r="AY129" i="2"/>
  <c r="AP130" i="2"/>
  <c r="AQ130" i="2"/>
  <c r="AR130" i="2"/>
  <c r="AS130" i="2"/>
  <c r="AT130" i="2"/>
  <c r="AU130" i="2"/>
  <c r="AV130" i="2"/>
  <c r="AW130" i="2"/>
  <c r="AX130" i="2"/>
  <c r="AY130" i="2"/>
  <c r="AP131" i="2"/>
  <c r="AQ131" i="2"/>
  <c r="AR131" i="2"/>
  <c r="AS131" i="2"/>
  <c r="AT131" i="2"/>
  <c r="AU131" i="2"/>
  <c r="AV131" i="2"/>
  <c r="AW131" i="2"/>
  <c r="AX131" i="2"/>
  <c r="AY131" i="2"/>
  <c r="AP132" i="2"/>
  <c r="AQ132" i="2"/>
  <c r="AR132" i="2"/>
  <c r="AS132" i="2"/>
  <c r="AT132" i="2"/>
  <c r="AU132" i="2"/>
  <c r="AV132" i="2"/>
  <c r="AW132" i="2"/>
  <c r="AX132" i="2"/>
  <c r="AY132" i="2"/>
  <c r="AP133" i="2"/>
  <c r="AQ133" i="2"/>
  <c r="AR133" i="2"/>
  <c r="AS133" i="2"/>
  <c r="AT133" i="2"/>
  <c r="AU133" i="2"/>
  <c r="AV133" i="2"/>
  <c r="AW133" i="2"/>
  <c r="AX133" i="2"/>
  <c r="AY133" i="2"/>
  <c r="AP134" i="2"/>
  <c r="AQ134" i="2"/>
  <c r="AR134" i="2"/>
  <c r="AS134" i="2"/>
  <c r="AT134" i="2"/>
  <c r="AU134" i="2"/>
  <c r="AV134" i="2"/>
  <c r="AW134" i="2"/>
  <c r="AX134" i="2"/>
  <c r="AY134" i="2"/>
  <c r="AP135" i="2"/>
  <c r="AQ135" i="2"/>
  <c r="AR135" i="2"/>
  <c r="AS135" i="2"/>
  <c r="AT135" i="2"/>
  <c r="AU135" i="2"/>
  <c r="AV135" i="2"/>
  <c r="AW135" i="2"/>
  <c r="AX135" i="2"/>
  <c r="AY135" i="2"/>
  <c r="AP136" i="2"/>
  <c r="AQ136" i="2"/>
  <c r="AR136" i="2"/>
  <c r="AS136" i="2"/>
  <c r="AT136" i="2"/>
  <c r="AU136" i="2"/>
  <c r="AV136" i="2"/>
  <c r="AW136" i="2"/>
  <c r="AX136" i="2"/>
  <c r="AY136" i="2"/>
  <c r="AP137" i="2"/>
  <c r="AQ137" i="2"/>
  <c r="AR137" i="2"/>
  <c r="AS137" i="2"/>
  <c r="AT137" i="2"/>
  <c r="AU137" i="2"/>
  <c r="AV137" i="2"/>
  <c r="AW137" i="2"/>
  <c r="AX137" i="2"/>
  <c r="AY137" i="2"/>
  <c r="AP138" i="2"/>
  <c r="AQ138" i="2"/>
  <c r="AR138" i="2"/>
  <c r="AS138" i="2"/>
  <c r="AT138" i="2"/>
  <c r="AU138" i="2"/>
  <c r="AV138" i="2"/>
  <c r="AW138" i="2"/>
  <c r="AX138" i="2"/>
  <c r="AY138" i="2"/>
  <c r="AP139" i="2"/>
  <c r="AQ139" i="2"/>
  <c r="AR139" i="2"/>
  <c r="AS139" i="2"/>
  <c r="AT139" i="2"/>
  <c r="AU139" i="2"/>
  <c r="AV139" i="2"/>
  <c r="AW139" i="2"/>
  <c r="AX139" i="2"/>
  <c r="AY139" i="2"/>
  <c r="AP140" i="2"/>
  <c r="AQ140" i="2"/>
  <c r="AR140" i="2"/>
  <c r="AS140" i="2"/>
  <c r="AT140" i="2"/>
  <c r="AU140" i="2"/>
  <c r="AV140" i="2"/>
  <c r="AW140" i="2"/>
  <c r="AX140" i="2"/>
  <c r="AY140" i="2"/>
  <c r="AP141" i="2"/>
  <c r="AQ141" i="2"/>
  <c r="AR141" i="2"/>
  <c r="AS141" i="2"/>
  <c r="AT141" i="2"/>
  <c r="AU141" i="2"/>
  <c r="AV141" i="2"/>
  <c r="AW141" i="2"/>
  <c r="AX141" i="2"/>
  <c r="AY141" i="2"/>
  <c r="AP142" i="2"/>
  <c r="AQ142" i="2"/>
  <c r="AR142" i="2"/>
  <c r="AS142" i="2"/>
  <c r="AT142" i="2"/>
  <c r="AU142" i="2"/>
  <c r="AV142" i="2"/>
  <c r="AW142" i="2"/>
  <c r="AX142" i="2"/>
  <c r="AY142" i="2"/>
  <c r="AP143" i="2"/>
  <c r="AQ143" i="2"/>
  <c r="AR143" i="2"/>
  <c r="AS143" i="2"/>
  <c r="AT143" i="2"/>
  <c r="AU143" i="2"/>
  <c r="AV143" i="2"/>
  <c r="AW143" i="2"/>
  <c r="AX143" i="2"/>
  <c r="AY143" i="2"/>
  <c r="AP144" i="2"/>
  <c r="AQ144" i="2"/>
  <c r="AR144" i="2"/>
  <c r="AS144" i="2"/>
  <c r="AT144" i="2"/>
  <c r="AU144" i="2"/>
  <c r="AV144" i="2"/>
  <c r="AW144" i="2"/>
  <c r="AX144" i="2"/>
  <c r="AY144" i="2"/>
  <c r="AP145" i="2"/>
  <c r="AQ145" i="2"/>
  <c r="AR145" i="2"/>
  <c r="AS145" i="2"/>
  <c r="AT145" i="2"/>
  <c r="AU145" i="2"/>
  <c r="AV145" i="2"/>
  <c r="AW145" i="2"/>
  <c r="AX145" i="2"/>
  <c r="AY145" i="2"/>
  <c r="AP146" i="2"/>
  <c r="AQ146" i="2"/>
  <c r="AR146" i="2"/>
  <c r="AS146" i="2"/>
  <c r="AT146" i="2"/>
  <c r="AU146" i="2"/>
  <c r="AV146" i="2"/>
  <c r="AW146" i="2"/>
  <c r="AX146" i="2"/>
  <c r="AY146" i="2"/>
  <c r="AP147" i="2"/>
  <c r="AQ147" i="2"/>
  <c r="AR147" i="2"/>
  <c r="AS147" i="2"/>
  <c r="AT147" i="2"/>
  <c r="AU147" i="2"/>
  <c r="AV147" i="2"/>
  <c r="AW147" i="2"/>
  <c r="AX147" i="2"/>
  <c r="AY147" i="2"/>
  <c r="AP148" i="2"/>
  <c r="AQ148" i="2"/>
  <c r="AR148" i="2"/>
  <c r="AS148" i="2"/>
  <c r="AT148" i="2"/>
  <c r="AU148" i="2"/>
  <c r="AV148" i="2"/>
  <c r="AW148" i="2"/>
  <c r="AX148" i="2"/>
  <c r="AY148" i="2"/>
  <c r="AP149" i="2"/>
  <c r="AQ149" i="2"/>
  <c r="AR149" i="2"/>
  <c r="AS149" i="2"/>
  <c r="AT149" i="2"/>
  <c r="AU149" i="2"/>
  <c r="AV149" i="2"/>
  <c r="AW149" i="2"/>
  <c r="AX149" i="2"/>
  <c r="AY149" i="2"/>
  <c r="AP150" i="2"/>
  <c r="AQ150" i="2"/>
  <c r="AR150" i="2"/>
  <c r="AS150" i="2"/>
  <c r="AT150" i="2"/>
  <c r="AU150" i="2"/>
  <c r="AV150" i="2"/>
  <c r="AW150" i="2"/>
  <c r="AX150" i="2"/>
  <c r="AY150" i="2"/>
  <c r="AP151" i="2"/>
  <c r="AQ151" i="2"/>
  <c r="AR151" i="2"/>
  <c r="AS151" i="2"/>
  <c r="AT151" i="2"/>
  <c r="AU151" i="2"/>
  <c r="AV151" i="2"/>
  <c r="AW151" i="2"/>
  <c r="AX151" i="2"/>
  <c r="AY151" i="2"/>
  <c r="AP152" i="2"/>
  <c r="AQ152" i="2"/>
  <c r="AR152" i="2"/>
  <c r="AS152" i="2"/>
  <c r="AT152" i="2"/>
  <c r="AU152" i="2"/>
  <c r="AV152" i="2"/>
  <c r="AW152" i="2"/>
  <c r="AX152" i="2"/>
  <c r="AY152" i="2"/>
  <c r="AP153" i="2"/>
  <c r="AQ153" i="2"/>
  <c r="AR153" i="2"/>
  <c r="AS153" i="2"/>
  <c r="AT153" i="2"/>
  <c r="AU153" i="2"/>
  <c r="AV153" i="2"/>
  <c r="AW153" i="2"/>
  <c r="AX153" i="2"/>
  <c r="AY153" i="2"/>
  <c r="AP154" i="2"/>
  <c r="AQ154" i="2"/>
  <c r="AR154" i="2"/>
  <c r="AS154" i="2"/>
  <c r="AT154" i="2"/>
  <c r="AU154" i="2"/>
  <c r="AV154" i="2"/>
  <c r="AW154" i="2"/>
  <c r="AX154" i="2"/>
  <c r="AY154" i="2"/>
  <c r="AP155" i="2"/>
  <c r="AQ155" i="2"/>
  <c r="AR155" i="2"/>
  <c r="AS155" i="2"/>
  <c r="AT155" i="2"/>
  <c r="AU155" i="2"/>
  <c r="AV155" i="2"/>
  <c r="AW155" i="2"/>
  <c r="AX155" i="2"/>
  <c r="AY155" i="2"/>
  <c r="AP156" i="2"/>
  <c r="AQ156" i="2"/>
  <c r="AR156" i="2"/>
  <c r="AS156" i="2"/>
  <c r="AT156" i="2"/>
  <c r="AU156" i="2"/>
  <c r="AV156" i="2"/>
  <c r="AW156" i="2"/>
  <c r="AX156" i="2"/>
  <c r="AY156" i="2"/>
  <c r="AP157" i="2"/>
  <c r="AQ157" i="2"/>
  <c r="AR157" i="2"/>
  <c r="AS157" i="2"/>
  <c r="AT157" i="2"/>
  <c r="AU157" i="2"/>
  <c r="AV157" i="2"/>
  <c r="AW157" i="2"/>
  <c r="AX157" i="2"/>
  <c r="AY157" i="2"/>
  <c r="AP158" i="2"/>
  <c r="AQ158" i="2"/>
  <c r="AR158" i="2"/>
  <c r="AS158" i="2"/>
  <c r="AT158" i="2"/>
  <c r="AU158" i="2"/>
  <c r="AV158" i="2"/>
  <c r="AW158" i="2"/>
  <c r="AX158" i="2"/>
  <c r="AY158" i="2"/>
  <c r="AP159" i="2"/>
  <c r="AQ159" i="2"/>
  <c r="AR159" i="2"/>
  <c r="AS159" i="2"/>
  <c r="AT159" i="2"/>
  <c r="AU159" i="2"/>
  <c r="AV159" i="2"/>
  <c r="AW159" i="2"/>
  <c r="AX159" i="2"/>
  <c r="AY159" i="2"/>
  <c r="AP160" i="2"/>
  <c r="AQ160" i="2"/>
  <c r="AR160" i="2"/>
  <c r="AS160" i="2"/>
  <c r="AT160" i="2"/>
  <c r="AU160" i="2"/>
  <c r="AV160" i="2"/>
  <c r="AW160" i="2"/>
  <c r="AX160" i="2"/>
  <c r="AY160" i="2"/>
  <c r="AP161" i="2"/>
  <c r="AQ161" i="2"/>
  <c r="AR161" i="2"/>
  <c r="AS161" i="2"/>
  <c r="AT161" i="2"/>
  <c r="AU161" i="2"/>
  <c r="AV161" i="2"/>
  <c r="AW161" i="2"/>
  <c r="AX161" i="2"/>
  <c r="AY161" i="2"/>
  <c r="AP162" i="2"/>
  <c r="AQ162" i="2"/>
  <c r="AR162" i="2"/>
  <c r="AS162" i="2"/>
  <c r="AT162" i="2"/>
  <c r="AU162" i="2"/>
  <c r="AV162" i="2"/>
  <c r="AW162" i="2"/>
  <c r="AX162" i="2"/>
  <c r="AY162" i="2"/>
  <c r="S115" i="2"/>
  <c r="T115" i="2"/>
  <c r="U115" i="2"/>
  <c r="V115" i="2"/>
  <c r="W115" i="2"/>
  <c r="X115" i="2"/>
  <c r="Y115" i="2"/>
  <c r="Z115" i="2"/>
  <c r="AA115" i="2"/>
  <c r="S116" i="2"/>
  <c r="T116" i="2"/>
  <c r="U116" i="2"/>
  <c r="V116" i="2"/>
  <c r="W116" i="2"/>
  <c r="X116" i="2"/>
  <c r="Y116" i="2"/>
  <c r="Z116" i="2"/>
  <c r="AA116" i="2"/>
  <c r="S117" i="2"/>
  <c r="T117" i="2"/>
  <c r="U117" i="2"/>
  <c r="V117" i="2"/>
  <c r="W117" i="2"/>
  <c r="X117" i="2"/>
  <c r="Y117" i="2"/>
  <c r="Z117" i="2"/>
  <c r="AA117" i="2"/>
  <c r="S118" i="2"/>
  <c r="T118" i="2"/>
  <c r="U118" i="2"/>
  <c r="V118" i="2"/>
  <c r="W118" i="2"/>
  <c r="X118" i="2"/>
  <c r="Y118" i="2"/>
  <c r="Z118" i="2"/>
  <c r="AA118" i="2"/>
  <c r="S119" i="2"/>
  <c r="T119" i="2"/>
  <c r="U119" i="2"/>
  <c r="V119" i="2"/>
  <c r="W119" i="2"/>
  <c r="X119" i="2"/>
  <c r="Y119" i="2"/>
  <c r="Z119" i="2"/>
  <c r="AA119" i="2"/>
  <c r="S120" i="2"/>
  <c r="T120" i="2"/>
  <c r="U120" i="2"/>
  <c r="V120" i="2"/>
  <c r="W120" i="2"/>
  <c r="X120" i="2"/>
  <c r="Y120" i="2"/>
  <c r="Z120" i="2"/>
  <c r="AA120" i="2"/>
  <c r="S121" i="2"/>
  <c r="T121" i="2"/>
  <c r="U121" i="2"/>
  <c r="V121" i="2"/>
  <c r="W121" i="2"/>
  <c r="X121" i="2"/>
  <c r="Y121" i="2"/>
  <c r="Z121" i="2"/>
  <c r="AA121" i="2"/>
  <c r="S122" i="2"/>
  <c r="T122" i="2"/>
  <c r="U122" i="2"/>
  <c r="V122" i="2"/>
  <c r="W122" i="2"/>
  <c r="X122" i="2"/>
  <c r="Y122" i="2"/>
  <c r="Z122" i="2"/>
  <c r="AA122" i="2"/>
  <c r="S123" i="2"/>
  <c r="T123" i="2"/>
  <c r="U123" i="2"/>
  <c r="V123" i="2"/>
  <c r="W123" i="2"/>
  <c r="X123" i="2"/>
  <c r="Y123" i="2"/>
  <c r="Z123" i="2"/>
  <c r="AA123" i="2"/>
  <c r="S124" i="2"/>
  <c r="T124" i="2"/>
  <c r="U124" i="2"/>
  <c r="V124" i="2"/>
  <c r="W124" i="2"/>
  <c r="X124" i="2"/>
  <c r="Y124" i="2"/>
  <c r="Z124" i="2"/>
  <c r="AA124" i="2"/>
  <c r="S125" i="2"/>
  <c r="T125" i="2"/>
  <c r="U125" i="2"/>
  <c r="V125" i="2"/>
  <c r="W125" i="2"/>
  <c r="X125" i="2"/>
  <c r="Y125" i="2"/>
  <c r="Z125" i="2"/>
  <c r="AA125" i="2"/>
  <c r="S126" i="2"/>
  <c r="T126" i="2"/>
  <c r="U126" i="2"/>
  <c r="V126" i="2"/>
  <c r="W126" i="2"/>
  <c r="X126" i="2"/>
  <c r="Y126" i="2"/>
  <c r="Z126" i="2"/>
  <c r="AA126" i="2"/>
  <c r="S127" i="2"/>
  <c r="T127" i="2"/>
  <c r="U127" i="2"/>
  <c r="V127" i="2"/>
  <c r="W127" i="2"/>
  <c r="X127" i="2"/>
  <c r="Y127" i="2"/>
  <c r="Z127" i="2"/>
  <c r="AA127" i="2"/>
  <c r="S128" i="2"/>
  <c r="T128" i="2"/>
  <c r="U128" i="2"/>
  <c r="V128" i="2"/>
  <c r="W128" i="2"/>
  <c r="X128" i="2"/>
  <c r="Y128" i="2"/>
  <c r="Z128" i="2"/>
  <c r="AA128" i="2"/>
  <c r="S129" i="2"/>
  <c r="T129" i="2"/>
  <c r="U129" i="2"/>
  <c r="V129" i="2"/>
  <c r="W129" i="2"/>
  <c r="X129" i="2"/>
  <c r="Y129" i="2"/>
  <c r="Z129" i="2"/>
  <c r="AA129" i="2"/>
  <c r="S130" i="2"/>
  <c r="T130" i="2"/>
  <c r="U130" i="2"/>
  <c r="V130" i="2"/>
  <c r="W130" i="2"/>
  <c r="X130" i="2"/>
  <c r="Y130" i="2"/>
  <c r="Z130" i="2"/>
  <c r="AA130" i="2"/>
  <c r="S131" i="2"/>
  <c r="T131" i="2"/>
  <c r="U131" i="2"/>
  <c r="V131" i="2"/>
  <c r="W131" i="2"/>
  <c r="X131" i="2"/>
  <c r="Y131" i="2"/>
  <c r="Z131" i="2"/>
  <c r="AA131" i="2"/>
  <c r="S132" i="2"/>
  <c r="T132" i="2"/>
  <c r="U132" i="2"/>
  <c r="V132" i="2"/>
  <c r="W132" i="2"/>
  <c r="X132" i="2"/>
  <c r="Y132" i="2"/>
  <c r="Z132" i="2"/>
  <c r="AA132" i="2"/>
  <c r="S133" i="2"/>
  <c r="T133" i="2"/>
  <c r="U133" i="2"/>
  <c r="V133" i="2"/>
  <c r="W133" i="2"/>
  <c r="X133" i="2"/>
  <c r="Y133" i="2"/>
  <c r="Z133" i="2"/>
  <c r="AA133" i="2"/>
  <c r="S134" i="2"/>
  <c r="T134" i="2"/>
  <c r="U134" i="2"/>
  <c r="V134" i="2"/>
  <c r="W134" i="2"/>
  <c r="X134" i="2"/>
  <c r="Y134" i="2"/>
  <c r="Z134" i="2"/>
  <c r="AA134" i="2"/>
  <c r="S135" i="2"/>
  <c r="T135" i="2"/>
  <c r="U135" i="2"/>
  <c r="V135" i="2"/>
  <c r="W135" i="2"/>
  <c r="X135" i="2"/>
  <c r="Y135" i="2"/>
  <c r="Z135" i="2"/>
  <c r="AA135" i="2"/>
  <c r="S136" i="2"/>
  <c r="T136" i="2"/>
  <c r="U136" i="2"/>
  <c r="V136" i="2"/>
  <c r="W136" i="2"/>
  <c r="X136" i="2"/>
  <c r="Y136" i="2"/>
  <c r="Z136" i="2"/>
  <c r="AA136" i="2"/>
  <c r="S137" i="2"/>
  <c r="T137" i="2"/>
  <c r="U137" i="2"/>
  <c r="V137" i="2"/>
  <c r="W137" i="2"/>
  <c r="X137" i="2"/>
  <c r="Y137" i="2"/>
  <c r="Z137" i="2"/>
  <c r="AA137" i="2"/>
  <c r="S138" i="2"/>
  <c r="T138" i="2"/>
  <c r="U138" i="2"/>
  <c r="V138" i="2"/>
  <c r="W138" i="2"/>
  <c r="X138" i="2"/>
  <c r="Y138" i="2"/>
  <c r="Z138" i="2"/>
  <c r="AA138" i="2"/>
  <c r="S139" i="2"/>
  <c r="T139" i="2"/>
  <c r="U139" i="2"/>
  <c r="V139" i="2"/>
  <c r="W139" i="2"/>
  <c r="X139" i="2"/>
  <c r="Y139" i="2"/>
  <c r="Z139" i="2"/>
  <c r="AA139" i="2"/>
  <c r="S140" i="2"/>
  <c r="T140" i="2"/>
  <c r="U140" i="2"/>
  <c r="V140" i="2"/>
  <c r="W140" i="2"/>
  <c r="X140" i="2"/>
  <c r="Y140" i="2"/>
  <c r="Z140" i="2"/>
  <c r="AA140" i="2"/>
  <c r="S141" i="2"/>
  <c r="T141" i="2"/>
  <c r="U141" i="2"/>
  <c r="V141" i="2"/>
  <c r="W141" i="2"/>
  <c r="X141" i="2"/>
  <c r="Y141" i="2"/>
  <c r="Z141" i="2"/>
  <c r="AA141" i="2"/>
  <c r="S142" i="2"/>
  <c r="T142" i="2"/>
  <c r="U142" i="2"/>
  <c r="V142" i="2"/>
  <c r="W142" i="2"/>
  <c r="X142" i="2"/>
  <c r="Y142" i="2"/>
  <c r="Z142" i="2"/>
  <c r="AA142" i="2"/>
  <c r="S143" i="2"/>
  <c r="T143" i="2"/>
  <c r="U143" i="2"/>
  <c r="V143" i="2"/>
  <c r="W143" i="2"/>
  <c r="X143" i="2"/>
  <c r="Y143" i="2"/>
  <c r="Z143" i="2"/>
  <c r="AA143" i="2"/>
  <c r="S144" i="2"/>
  <c r="T144" i="2"/>
  <c r="U144" i="2"/>
  <c r="V144" i="2"/>
  <c r="W144" i="2"/>
  <c r="X144" i="2"/>
  <c r="Y144" i="2"/>
  <c r="Z144" i="2"/>
  <c r="AA144" i="2"/>
  <c r="S145" i="2"/>
  <c r="T145" i="2"/>
  <c r="U145" i="2"/>
  <c r="V145" i="2"/>
  <c r="W145" i="2"/>
  <c r="X145" i="2"/>
  <c r="Y145" i="2"/>
  <c r="Z145" i="2"/>
  <c r="AA145" i="2"/>
  <c r="S146" i="2"/>
  <c r="T146" i="2"/>
  <c r="U146" i="2"/>
  <c r="V146" i="2"/>
  <c r="W146" i="2"/>
  <c r="X146" i="2"/>
  <c r="Y146" i="2"/>
  <c r="Z146" i="2"/>
  <c r="AA146" i="2"/>
  <c r="S147" i="2"/>
  <c r="T147" i="2"/>
  <c r="U147" i="2"/>
  <c r="V147" i="2"/>
  <c r="W147" i="2"/>
  <c r="X147" i="2"/>
  <c r="Y147" i="2"/>
  <c r="Z147" i="2"/>
  <c r="AA147" i="2"/>
  <c r="S148" i="2"/>
  <c r="T148" i="2"/>
  <c r="U148" i="2"/>
  <c r="V148" i="2"/>
  <c r="W148" i="2"/>
  <c r="X148" i="2"/>
  <c r="Y148" i="2"/>
  <c r="Z148" i="2"/>
  <c r="AA148" i="2"/>
  <c r="S149" i="2"/>
  <c r="T149" i="2"/>
  <c r="U149" i="2"/>
  <c r="V149" i="2"/>
  <c r="W149" i="2"/>
  <c r="X149" i="2"/>
  <c r="Y149" i="2"/>
  <c r="Z149" i="2"/>
  <c r="AA149" i="2"/>
  <c r="S150" i="2"/>
  <c r="T150" i="2"/>
  <c r="U150" i="2"/>
  <c r="V150" i="2"/>
  <c r="W150" i="2"/>
  <c r="X150" i="2"/>
  <c r="Y150" i="2"/>
  <c r="Z150" i="2"/>
  <c r="AA150" i="2"/>
  <c r="S151" i="2"/>
  <c r="T151" i="2"/>
  <c r="U151" i="2"/>
  <c r="V151" i="2"/>
  <c r="W151" i="2"/>
  <c r="X151" i="2"/>
  <c r="Y151" i="2"/>
  <c r="Z151" i="2"/>
  <c r="AA151" i="2"/>
  <c r="S152" i="2"/>
  <c r="T152" i="2"/>
  <c r="U152" i="2"/>
  <c r="V152" i="2"/>
  <c r="W152" i="2"/>
  <c r="X152" i="2"/>
  <c r="Y152" i="2"/>
  <c r="Z152" i="2"/>
  <c r="AA152" i="2"/>
  <c r="S153" i="2"/>
  <c r="T153" i="2"/>
  <c r="U153" i="2"/>
  <c r="V153" i="2"/>
  <c r="W153" i="2"/>
  <c r="X153" i="2"/>
  <c r="Y153" i="2"/>
  <c r="Z153" i="2"/>
  <c r="AA153" i="2"/>
  <c r="S154" i="2"/>
  <c r="T154" i="2"/>
  <c r="U154" i="2"/>
  <c r="V154" i="2"/>
  <c r="W154" i="2"/>
  <c r="X154" i="2"/>
  <c r="Y154" i="2"/>
  <c r="Z154" i="2"/>
  <c r="AA154" i="2"/>
  <c r="S155" i="2"/>
  <c r="T155" i="2"/>
  <c r="U155" i="2"/>
  <c r="V155" i="2"/>
  <c r="W155" i="2"/>
  <c r="X155" i="2"/>
  <c r="Y155" i="2"/>
  <c r="Z155" i="2"/>
  <c r="AA155" i="2"/>
  <c r="S156" i="2"/>
  <c r="T156" i="2"/>
  <c r="U156" i="2"/>
  <c r="V156" i="2"/>
  <c r="W156" i="2"/>
  <c r="X156" i="2"/>
  <c r="Y156" i="2"/>
  <c r="Z156" i="2"/>
  <c r="AA156" i="2"/>
  <c r="S157" i="2"/>
  <c r="T157" i="2"/>
  <c r="U157" i="2"/>
  <c r="V157" i="2"/>
  <c r="W157" i="2"/>
  <c r="X157" i="2"/>
  <c r="Y157" i="2"/>
  <c r="Z157" i="2"/>
  <c r="AA157" i="2"/>
  <c r="S158" i="2"/>
  <c r="T158" i="2"/>
  <c r="U158" i="2"/>
  <c r="V158" i="2"/>
  <c r="W158" i="2"/>
  <c r="X158" i="2"/>
  <c r="Y158" i="2"/>
  <c r="Z158" i="2"/>
  <c r="AA158" i="2"/>
  <c r="S159" i="2"/>
  <c r="T159" i="2"/>
  <c r="U159" i="2"/>
  <c r="V159" i="2"/>
  <c r="W159" i="2"/>
  <c r="X159" i="2"/>
  <c r="Y159" i="2"/>
  <c r="Z159" i="2"/>
  <c r="AA159" i="2"/>
  <c r="S160" i="2"/>
  <c r="T160" i="2"/>
  <c r="U160" i="2"/>
  <c r="V160" i="2"/>
  <c r="W160" i="2"/>
  <c r="X160" i="2"/>
  <c r="Y160" i="2"/>
  <c r="Z160" i="2"/>
  <c r="AA160" i="2"/>
  <c r="S161" i="2"/>
  <c r="T161" i="2"/>
  <c r="U161" i="2"/>
  <c r="V161" i="2"/>
  <c r="W161" i="2"/>
  <c r="X161" i="2"/>
  <c r="Y161" i="2"/>
  <c r="Z161" i="2"/>
  <c r="AA161" i="2"/>
  <c r="S162" i="2"/>
  <c r="T162" i="2"/>
  <c r="U162" i="2"/>
  <c r="V162" i="2"/>
  <c r="W162" i="2"/>
  <c r="X162" i="2"/>
  <c r="Y162" i="2"/>
  <c r="Z162" i="2"/>
  <c r="AA162" i="2"/>
  <c r="R115" i="2"/>
  <c r="R116" i="2"/>
  <c r="R117" i="2"/>
  <c r="R118" i="2"/>
  <c r="R119" i="2"/>
  <c r="R120" i="2"/>
  <c r="R121" i="2"/>
  <c r="R122" i="2"/>
  <c r="R123" i="2"/>
  <c r="R124" i="2"/>
  <c r="R125" i="2"/>
  <c r="R126" i="2"/>
  <c r="R127" i="2"/>
  <c r="R128" i="2"/>
  <c r="R129" i="2"/>
  <c r="R130" i="2"/>
  <c r="R131" i="2"/>
  <c r="R132" i="2"/>
  <c r="R133" i="2"/>
  <c r="R134" i="2"/>
  <c r="R135" i="2"/>
  <c r="R136" i="2"/>
  <c r="R137" i="2"/>
  <c r="R138" i="2"/>
  <c r="R139" i="2"/>
  <c r="R140" i="2"/>
  <c r="R141" i="2"/>
  <c r="R142" i="2"/>
  <c r="R143" i="2"/>
  <c r="R144" i="2"/>
  <c r="R145" i="2"/>
  <c r="R146" i="2"/>
  <c r="R147" i="2"/>
  <c r="R148" i="2"/>
  <c r="R149" i="2"/>
  <c r="R150" i="2"/>
  <c r="R151" i="2"/>
  <c r="R152" i="2"/>
  <c r="R153" i="2"/>
  <c r="R154" i="2"/>
  <c r="R155" i="2"/>
  <c r="R156" i="2"/>
  <c r="R157" i="2"/>
  <c r="R158" i="2"/>
  <c r="R159" i="2"/>
  <c r="R160" i="2"/>
  <c r="R161" i="2"/>
  <c r="R162" i="2"/>
  <c r="K6" i="6"/>
  <c r="X8" i="2" l="1"/>
  <c r="D48" i="2" s="1"/>
  <c r="FL12" i="6"/>
  <c r="FL16" i="6"/>
  <c r="FL20" i="6"/>
  <c r="FL28" i="6"/>
  <c r="FL32" i="6"/>
  <c r="FL36" i="6"/>
  <c r="FL40" i="6"/>
  <c r="FL44" i="6"/>
  <c r="FL48" i="6"/>
  <c r="FL52" i="6"/>
  <c r="FL56" i="6"/>
  <c r="FL60" i="6"/>
  <c r="FL64" i="6"/>
  <c r="FL68" i="6"/>
  <c r="FL72" i="6"/>
  <c r="FL76" i="6"/>
  <c r="FL80" i="6"/>
  <c r="FL84" i="6"/>
  <c r="FL88" i="6"/>
  <c r="FL92" i="6"/>
  <c r="FL96" i="6"/>
  <c r="FL100" i="6"/>
  <c r="FL104" i="6"/>
  <c r="FL108" i="6"/>
  <c r="FL112" i="6"/>
  <c r="FL116" i="6"/>
  <c r="FL120" i="6"/>
  <c r="FL124" i="6"/>
  <c r="FL128" i="6"/>
  <c r="FL132" i="6"/>
  <c r="FL136" i="6"/>
  <c r="FL140" i="6"/>
  <c r="FL144" i="6"/>
  <c r="FL148" i="6"/>
  <c r="FL152" i="6"/>
  <c r="FL156" i="6"/>
  <c r="FL160" i="6"/>
  <c r="FL164" i="6"/>
  <c r="FL168" i="6"/>
  <c r="FL172" i="6"/>
  <c r="FL176" i="6"/>
  <c r="FL180" i="6"/>
  <c r="FL184" i="6"/>
  <c r="FL188" i="6"/>
  <c r="FL192" i="6"/>
  <c r="FL196" i="6"/>
  <c r="FL200" i="6"/>
  <c r="FL204" i="6"/>
  <c r="FL208" i="6"/>
  <c r="FL13" i="6"/>
  <c r="FL17" i="6"/>
  <c r="FL21" i="6"/>
  <c r="FL25" i="6"/>
  <c r="FL29" i="6"/>
  <c r="FL33" i="6"/>
  <c r="FL37" i="6"/>
  <c r="FL41" i="6"/>
  <c r="FL45" i="6"/>
  <c r="FL49" i="6"/>
  <c r="FL53" i="6"/>
  <c r="FL57" i="6"/>
  <c r="FL61" i="6"/>
  <c r="FL65" i="6"/>
  <c r="FL69" i="6"/>
  <c r="FL73" i="6"/>
  <c r="FL77" i="6"/>
  <c r="FL81" i="6"/>
  <c r="FL85" i="6"/>
  <c r="FL89" i="6"/>
  <c r="FL93" i="6"/>
  <c r="FL97" i="6"/>
  <c r="FL101" i="6"/>
  <c r="FL105" i="6"/>
  <c r="FL109" i="6"/>
  <c r="FL113" i="6"/>
  <c r="FL117" i="6"/>
  <c r="FL121" i="6"/>
  <c r="FL125" i="6"/>
  <c r="FL129" i="6"/>
  <c r="FL133" i="6"/>
  <c r="FL137" i="6"/>
  <c r="FL141" i="6"/>
  <c r="FL145" i="6"/>
  <c r="FL149" i="6"/>
  <c r="FL153" i="6"/>
  <c r="FL157" i="6"/>
  <c r="FL161" i="6"/>
  <c r="FL165" i="6"/>
  <c r="FL169" i="6"/>
  <c r="FL173" i="6"/>
  <c r="FL177" i="6"/>
  <c r="FL181" i="6"/>
  <c r="FL185" i="6"/>
  <c r="FL189" i="6"/>
  <c r="FL193" i="6"/>
  <c r="FL197" i="6"/>
  <c r="FL201" i="6"/>
  <c r="FL205" i="6"/>
  <c r="FL209" i="6"/>
  <c r="FL14" i="6"/>
  <c r="FL18" i="6"/>
  <c r="FL26" i="6"/>
  <c r="FL30" i="6"/>
  <c r="FL34" i="6"/>
  <c r="FL38" i="6"/>
  <c r="FL42" i="6"/>
  <c r="FL46" i="6"/>
  <c r="FL50" i="6"/>
  <c r="FL54" i="6"/>
  <c r="FL62" i="6"/>
  <c r="FL66" i="6"/>
  <c r="FL70" i="6"/>
  <c r="FL74" i="6"/>
  <c r="FL78" i="6"/>
  <c r="FL82" i="6"/>
  <c r="FL86" i="6"/>
  <c r="FL90" i="6"/>
  <c r="FL94" i="6"/>
  <c r="FL98" i="6"/>
  <c r="FL102" i="6"/>
  <c r="FL106" i="6"/>
  <c r="FL110" i="6"/>
  <c r="FL114" i="6"/>
  <c r="FL118" i="6"/>
  <c r="FL122" i="6"/>
  <c r="FL126" i="6"/>
  <c r="FL130" i="6"/>
  <c r="FL134" i="6"/>
  <c r="FL138" i="6"/>
  <c r="FL142" i="6"/>
  <c r="FL146" i="6"/>
  <c r="FL150" i="6"/>
  <c r="FL154" i="6"/>
  <c r="FL158" i="6"/>
  <c r="FL162" i="6"/>
  <c r="FL166" i="6"/>
  <c r="FL170" i="6"/>
  <c r="FL174" i="6"/>
  <c r="FL178" i="6"/>
  <c r="FL182" i="6"/>
  <c r="FL186" i="6"/>
  <c r="FL190" i="6"/>
  <c r="FL194" i="6"/>
  <c r="FL198" i="6"/>
  <c r="FL202" i="6"/>
  <c r="FL206" i="6"/>
  <c r="FL210" i="6"/>
  <c r="FL15" i="6"/>
  <c r="FL19" i="6"/>
  <c r="FL23" i="6"/>
  <c r="FL27" i="6"/>
  <c r="FL31" i="6"/>
  <c r="FL35" i="6"/>
  <c r="FL39" i="6"/>
  <c r="FL43" i="6"/>
  <c r="FL47" i="6"/>
  <c r="FL51" i="6"/>
  <c r="FL55" i="6"/>
  <c r="FL59" i="6"/>
  <c r="FL63" i="6"/>
  <c r="FL67" i="6"/>
  <c r="FL71" i="6"/>
  <c r="FL75" i="6"/>
  <c r="FL79" i="6"/>
  <c r="FL83" i="6"/>
  <c r="FL87" i="6"/>
  <c r="FL91" i="6"/>
  <c r="FL95" i="6"/>
  <c r="FL99" i="6"/>
  <c r="FL103" i="6"/>
  <c r="FL107" i="6"/>
  <c r="FL111" i="6"/>
  <c r="FL115" i="6"/>
  <c r="FL119" i="6"/>
  <c r="FL123" i="6"/>
  <c r="FL127" i="6"/>
  <c r="FL131" i="6"/>
  <c r="FL135" i="6"/>
  <c r="FL139" i="6"/>
  <c r="FL143" i="6"/>
  <c r="FL147" i="6"/>
  <c r="FL151" i="6"/>
  <c r="FL155" i="6"/>
  <c r="FL159" i="6"/>
  <c r="FL163" i="6"/>
  <c r="FL167" i="6"/>
  <c r="FL171" i="6"/>
  <c r="FL175" i="6"/>
  <c r="FL179" i="6"/>
  <c r="FL183" i="6"/>
  <c r="FL187" i="6"/>
  <c r="FL191" i="6"/>
  <c r="FL195" i="6"/>
  <c r="FL199" i="6"/>
  <c r="FL203" i="6"/>
  <c r="FL207" i="6"/>
  <c r="FL11" i="6"/>
  <c r="BQ24" i="5"/>
  <c r="T13" i="5" s="1"/>
  <c r="BJ24" i="5"/>
  <c r="E23" i="5"/>
  <c r="D19" i="5" s="1"/>
  <c r="F24" i="2"/>
  <c r="BQ23" i="2"/>
  <c r="BP24" i="5" s="1"/>
  <c r="AD156" i="5"/>
  <c r="AD134" i="5"/>
  <c r="AD166" i="5"/>
  <c r="AD150" i="5"/>
  <c r="AD161" i="5"/>
  <c r="AD145" i="5"/>
  <c r="AD140" i="5"/>
  <c r="AD129" i="5"/>
  <c r="AD124" i="5"/>
  <c r="H182" i="5"/>
  <c r="L182" i="5"/>
  <c r="AE120" i="2"/>
  <c r="AE136" i="2"/>
  <c r="AE131" i="2"/>
  <c r="M182" i="5"/>
  <c r="I182" i="5"/>
  <c r="J182" i="5"/>
  <c r="F182" i="5"/>
  <c r="K182" i="5"/>
  <c r="G182" i="5"/>
  <c r="AD167" i="5"/>
  <c r="AD163" i="5"/>
  <c r="AD159" i="5"/>
  <c r="AD155" i="5"/>
  <c r="AD151" i="5"/>
  <c r="AD147" i="5"/>
  <c r="AD143" i="5"/>
  <c r="AD139" i="5"/>
  <c r="AD135" i="5"/>
  <c r="AD131" i="5"/>
  <c r="AD127" i="5"/>
  <c r="AD123" i="5"/>
  <c r="AE159" i="2"/>
  <c r="AE162" i="2"/>
  <c r="AE158" i="2"/>
  <c r="AE154" i="2"/>
  <c r="AE150" i="2"/>
  <c r="AE146" i="2"/>
  <c r="AE142" i="2"/>
  <c r="AE138" i="2"/>
  <c r="AE134" i="2"/>
  <c r="AE130" i="2"/>
  <c r="AE126" i="2"/>
  <c r="AE122" i="2"/>
  <c r="AE118" i="2"/>
  <c r="AE153" i="2"/>
  <c r="AE141" i="2"/>
  <c r="AE125" i="2"/>
  <c r="AD165" i="5"/>
  <c r="AD164" i="5"/>
  <c r="AD162" i="5"/>
  <c r="AD160" i="5"/>
  <c r="AD158" i="5"/>
  <c r="AD157" i="5"/>
  <c r="AD154" i="5"/>
  <c r="AD153" i="5"/>
  <c r="AD152" i="5"/>
  <c r="AD149" i="5"/>
  <c r="AD148" i="5"/>
  <c r="AD146" i="5"/>
  <c r="AD144" i="5"/>
  <c r="AD142" i="5"/>
  <c r="AD141" i="5"/>
  <c r="AD138" i="5"/>
  <c r="AD137" i="5"/>
  <c r="AD136" i="5"/>
  <c r="AD133" i="5"/>
  <c r="AD132" i="5"/>
  <c r="AD130" i="5"/>
  <c r="AD128" i="5"/>
  <c r="AD126" i="5"/>
  <c r="AD125" i="5"/>
  <c r="AD122" i="5"/>
  <c r="O12" i="5"/>
  <c r="AL19" i="5"/>
  <c r="AL144" i="5" s="1"/>
  <c r="AL8" i="5"/>
  <c r="O8" i="5"/>
  <c r="T7" i="2"/>
  <c r="AM14" i="2"/>
  <c r="AM139" i="2" s="1"/>
  <c r="AE161" i="2"/>
  <c r="AE157" i="2"/>
  <c r="AE156" i="2"/>
  <c r="AE155" i="2"/>
  <c r="AE149" i="2"/>
  <c r="AE148" i="2"/>
  <c r="AE145" i="2"/>
  <c r="AE144" i="2"/>
  <c r="AE143" i="2"/>
  <c r="AE140" i="2"/>
  <c r="AE139" i="2"/>
  <c r="AE137" i="2"/>
  <c r="AE135" i="2"/>
  <c r="AE133" i="2"/>
  <c r="AE132" i="2"/>
  <c r="AE129" i="2"/>
  <c r="AE128" i="2"/>
  <c r="AE127" i="2"/>
  <c r="AE124" i="2"/>
  <c r="AE123" i="2"/>
  <c r="AE121" i="2"/>
  <c r="AE119" i="2"/>
  <c r="AE117" i="2"/>
  <c r="AE160" i="2"/>
  <c r="AE147" i="2"/>
  <c r="AE151" i="2"/>
  <c r="AE152" i="2"/>
  <c r="BD120" i="5"/>
  <c r="BD24" i="5"/>
  <c r="BC24" i="5" s="1"/>
  <c r="J6" i="6" l="1"/>
  <c r="F12" i="6" s="1"/>
  <c r="F13" i="6" s="1"/>
  <c r="FL58" i="6"/>
  <c r="FL24" i="6"/>
  <c r="FL22" i="6"/>
  <c r="AI15" i="2"/>
  <c r="AH144" i="5"/>
  <c r="AI161" i="2"/>
  <c r="AI158" i="2"/>
  <c r="AM154" i="2"/>
  <c r="AL161" i="5"/>
  <c r="AL150" i="5"/>
  <c r="AH150" i="5" s="1"/>
  <c r="AL147" i="5"/>
  <c r="AH147" i="5" s="1"/>
  <c r="AL163" i="5"/>
  <c r="AH163" i="5" s="1"/>
  <c r="AL166" i="5"/>
  <c r="AH166" i="5" s="1"/>
  <c r="AH157" i="5"/>
  <c r="AL157" i="5"/>
  <c r="AL156" i="5"/>
  <c r="AL154" i="5"/>
  <c r="AH154" i="5" s="1"/>
  <c r="AH145" i="5"/>
  <c r="AH161" i="5"/>
  <c r="AL151" i="5"/>
  <c r="AH151" i="5" s="1"/>
  <c r="AH148" i="5"/>
  <c r="AH152" i="5"/>
  <c r="AL165" i="5"/>
  <c r="AL153" i="5"/>
  <c r="AL148" i="5"/>
  <c r="AL158" i="5"/>
  <c r="AH158" i="5" s="1"/>
  <c r="AH149" i="5"/>
  <c r="AH165" i="5"/>
  <c r="AL155" i="5"/>
  <c r="AH155" i="5" s="1"/>
  <c r="AH156" i="5"/>
  <c r="AH160" i="5"/>
  <c r="AL164" i="5"/>
  <c r="AL160" i="5"/>
  <c r="AL146" i="5"/>
  <c r="AH146" i="5" s="1"/>
  <c r="AL162" i="5"/>
  <c r="AH162" i="5" s="1"/>
  <c r="AH153" i="5"/>
  <c r="AL167" i="5"/>
  <c r="AH167" i="5" s="1"/>
  <c r="AL159" i="5"/>
  <c r="AH159" i="5" s="1"/>
  <c r="AH164" i="5"/>
  <c r="AL149" i="5"/>
  <c r="AL145" i="5"/>
  <c r="AL152" i="5"/>
  <c r="AI155" i="2"/>
  <c r="AM159" i="2"/>
  <c r="AM153" i="2"/>
  <c r="AI152" i="2"/>
  <c r="AM152" i="2"/>
  <c r="AI153" i="2"/>
  <c r="AI140" i="2"/>
  <c r="AI156" i="2"/>
  <c r="AM143" i="2"/>
  <c r="AM146" i="2"/>
  <c r="AM160" i="2"/>
  <c r="AI142" i="2"/>
  <c r="AI147" i="2"/>
  <c r="AM145" i="2"/>
  <c r="AM162" i="2"/>
  <c r="AI145" i="2"/>
  <c r="AI150" i="2"/>
  <c r="AI139" i="2"/>
  <c r="AM151" i="2"/>
  <c r="AM161" i="2"/>
  <c r="AM144" i="2"/>
  <c r="AI149" i="2"/>
  <c r="AI144" i="2"/>
  <c r="AI154" i="2"/>
  <c r="AI148" i="2"/>
  <c r="AI143" i="2"/>
  <c r="AI159" i="2"/>
  <c r="AM155" i="2"/>
  <c r="AM149" i="2"/>
  <c r="AM142" i="2"/>
  <c r="AM158" i="2"/>
  <c r="AM148" i="2"/>
  <c r="AI141" i="2"/>
  <c r="AI157" i="2"/>
  <c r="AI146" i="2"/>
  <c r="AI162" i="2"/>
  <c r="AI160" i="2"/>
  <c r="AI151" i="2"/>
  <c r="AM147" i="2"/>
  <c r="AM141" i="2"/>
  <c r="AM157" i="2"/>
  <c r="AM150" i="2"/>
  <c r="AM140" i="2"/>
  <c r="AM156" i="2"/>
  <c r="BD121" i="5"/>
  <c r="BC121" i="5" s="1"/>
  <c r="BC120" i="5"/>
  <c r="F14" i="6" l="1"/>
  <c r="BD116" i="5" l="1"/>
  <c r="F15" i="6"/>
  <c r="BD119" i="5" l="1"/>
  <c r="BC119" i="5" s="1"/>
  <c r="BC116" i="5"/>
  <c r="BD117" i="5"/>
  <c r="Y15" i="5"/>
  <c r="L37" i="5"/>
  <c r="X15" i="5"/>
  <c r="K37" i="5"/>
  <c r="W15" i="5"/>
  <c r="J37" i="5"/>
  <c r="Z15" i="5"/>
  <c r="M37" i="5"/>
  <c r="F16" i="6"/>
  <c r="BD122" i="5"/>
  <c r="BD123" i="5" s="1"/>
  <c r="BD124" i="5" s="1"/>
  <c r="F18" i="5"/>
  <c r="F19" i="5" s="1"/>
  <c r="BC117" i="5" l="1"/>
  <c r="BD118" i="5"/>
  <c r="BC118" i="5" s="1"/>
  <c r="BD33" i="5"/>
  <c r="BC123" i="5"/>
  <c r="F17" i="6"/>
  <c r="BD125" i="5"/>
  <c r="BC125" i="5" s="1"/>
  <c r="BC124" i="5"/>
  <c r="BC122" i="5"/>
  <c r="FB28" i="6"/>
  <c r="H3" i="5"/>
  <c r="I3" i="2"/>
  <c r="BD34" i="5" l="1"/>
  <c r="BC33" i="5"/>
  <c r="BD38" i="5"/>
  <c r="BD177" i="5"/>
  <c r="F18" i="6"/>
  <c r="BC34" i="5" l="1"/>
  <c r="BD35" i="5"/>
  <c r="BD39" i="5"/>
  <c r="BC38" i="5"/>
  <c r="BD178" i="5"/>
  <c r="BC177" i="5"/>
  <c r="F19" i="6"/>
  <c r="D131" i="5"/>
  <c r="D132" i="5"/>
  <c r="D133" i="5"/>
  <c r="E34" i="2"/>
  <c r="E33" i="2"/>
  <c r="E32" i="2"/>
  <c r="E31" i="2"/>
  <c r="E30" i="2"/>
  <c r="E29" i="2"/>
  <c r="E28" i="2"/>
  <c r="Q17" i="5"/>
  <c r="Q18" i="5"/>
  <c r="Q19" i="5"/>
  <c r="Q20" i="5"/>
  <c r="Q21" i="5"/>
  <c r="Q22" i="5"/>
  <c r="Q23" i="5"/>
  <c r="Q24" i="5"/>
  <c r="Q25" i="5"/>
  <c r="Q26" i="5"/>
  <c r="Q27" i="5"/>
  <c r="Q28" i="5"/>
  <c r="Q29" i="5"/>
  <c r="Q30" i="5"/>
  <c r="Q31" i="5"/>
  <c r="Q32" i="5"/>
  <c r="Q33" i="5"/>
  <c r="Q34" i="5"/>
  <c r="Q35" i="5"/>
  <c r="Q36" i="5"/>
  <c r="Q37" i="5"/>
  <c r="Q38" i="5"/>
  <c r="Q39" i="5"/>
  <c r="Q40" i="5"/>
  <c r="Q41" i="5"/>
  <c r="Q42" i="5"/>
  <c r="Q43" i="5"/>
  <c r="Q44" i="5"/>
  <c r="Q45" i="5"/>
  <c r="Q46" i="5"/>
  <c r="Q47" i="5"/>
  <c r="Q48" i="5"/>
  <c r="Q49" i="5"/>
  <c r="Q50" i="5"/>
  <c r="Q51" i="5"/>
  <c r="Q52" i="5"/>
  <c r="Q53" i="5"/>
  <c r="Q54" i="5"/>
  <c r="Q55" i="5"/>
  <c r="Q56" i="5"/>
  <c r="Q57" i="5"/>
  <c r="Q58" i="5"/>
  <c r="Q59" i="5"/>
  <c r="Q60" i="5"/>
  <c r="Q61" i="5"/>
  <c r="Q62" i="5"/>
  <c r="Q63" i="5"/>
  <c r="Q64" i="5"/>
  <c r="Q65" i="5"/>
  <c r="Q66" i="5"/>
  <c r="Q67" i="5"/>
  <c r="Q68" i="5"/>
  <c r="Q69" i="5"/>
  <c r="Q70" i="5"/>
  <c r="Q71" i="5"/>
  <c r="Q72" i="5"/>
  <c r="Q73" i="5"/>
  <c r="Q74" i="5"/>
  <c r="Q75" i="5"/>
  <c r="Q76" i="5"/>
  <c r="Q77" i="5"/>
  <c r="Q78" i="5"/>
  <c r="Q79" i="5"/>
  <c r="Q80" i="5"/>
  <c r="Q81" i="5"/>
  <c r="Q82" i="5"/>
  <c r="Q83" i="5"/>
  <c r="Q84" i="5"/>
  <c r="Q85" i="5"/>
  <c r="Q86" i="5"/>
  <c r="Q87" i="5"/>
  <c r="Q88" i="5"/>
  <c r="Q89" i="5"/>
  <c r="Q90" i="5"/>
  <c r="Q91" i="5"/>
  <c r="Q92" i="5"/>
  <c r="Q93" i="5"/>
  <c r="Q94" i="5"/>
  <c r="Q95" i="5"/>
  <c r="Q96" i="5"/>
  <c r="Q97" i="5"/>
  <c r="Q98" i="5"/>
  <c r="Q99" i="5"/>
  <c r="Q100" i="5"/>
  <c r="Q101" i="5"/>
  <c r="Q102" i="5"/>
  <c r="Q103" i="5"/>
  <c r="Q104" i="5"/>
  <c r="Q105" i="5"/>
  <c r="Q106" i="5"/>
  <c r="Q107" i="5"/>
  <c r="Q108" i="5"/>
  <c r="Q109" i="5"/>
  <c r="Q110" i="5"/>
  <c r="Q111" i="5"/>
  <c r="AD119" i="5" s="1"/>
  <c r="Q16" i="5"/>
  <c r="FA30" i="6"/>
  <c r="FB30" i="6" s="1"/>
  <c r="FA29" i="6"/>
  <c r="FB29" i="6" s="1"/>
  <c r="FB27" i="6"/>
  <c r="BC35" i="5" l="1"/>
  <c r="BD36" i="5"/>
  <c r="BC178" i="5"/>
  <c r="BD179" i="5"/>
  <c r="BD40" i="5"/>
  <c r="BC39" i="5"/>
  <c r="BD101" i="5"/>
  <c r="F20" i="6"/>
  <c r="FA26" i="6"/>
  <c r="FB26" i="6" s="1"/>
  <c r="H9" i="6"/>
  <c r="E38" i="6"/>
  <c r="G10" i="6"/>
  <c r="BC36" i="5" l="1"/>
  <c r="BD37" i="5"/>
  <c r="BC37" i="5" s="1"/>
  <c r="BC179" i="5"/>
  <c r="BD180" i="5"/>
  <c r="BC40" i="5"/>
  <c r="BD41" i="5"/>
  <c r="BC41" i="5" s="1"/>
  <c r="BD102" i="5"/>
  <c r="BC101" i="5"/>
  <c r="F21" i="6"/>
  <c r="G38" i="6"/>
  <c r="G39" i="6"/>
  <c r="H39" i="6"/>
  <c r="H38" i="6"/>
  <c r="I9" i="6"/>
  <c r="I39" i="6" s="1"/>
  <c r="H10" i="6"/>
  <c r="H40" i="6"/>
  <c r="G40" i="6"/>
  <c r="BC180" i="5" l="1"/>
  <c r="BD181" i="5"/>
  <c r="BC181" i="5" s="1"/>
  <c r="BC102" i="5"/>
  <c r="BD103" i="5"/>
  <c r="F22" i="6"/>
  <c r="BD42" i="5"/>
  <c r="I40" i="6"/>
  <c r="I38" i="6"/>
  <c r="I10" i="6"/>
  <c r="J9" i="6"/>
  <c r="J38" i="6" s="1"/>
  <c r="I41" i="6"/>
  <c r="G41" i="6"/>
  <c r="H41" i="6"/>
  <c r="BC103" i="5" l="1"/>
  <c r="BD104" i="5"/>
  <c r="F23" i="6"/>
  <c r="BE144" i="2"/>
  <c r="BC42" i="5"/>
  <c r="BD43" i="5"/>
  <c r="J41" i="6"/>
  <c r="K9" i="6"/>
  <c r="K41" i="6" s="1"/>
  <c r="J39" i="6"/>
  <c r="J40" i="6"/>
  <c r="J10" i="6"/>
  <c r="G42" i="6"/>
  <c r="I42" i="6"/>
  <c r="J42" i="6"/>
  <c r="H42" i="6"/>
  <c r="BD105" i="5" l="1"/>
  <c r="BC104" i="5"/>
  <c r="F24" i="6"/>
  <c r="BE145" i="2"/>
  <c r="BD144" i="2"/>
  <c r="BD44" i="5"/>
  <c r="BC43" i="5"/>
  <c r="K10" i="6"/>
  <c r="K42" i="6"/>
  <c r="L9" i="6"/>
  <c r="L10" i="6" s="1"/>
  <c r="K38" i="6"/>
  <c r="K40" i="6"/>
  <c r="K39" i="6"/>
  <c r="G43" i="6"/>
  <c r="J43" i="6"/>
  <c r="H43" i="6"/>
  <c r="I43" i="6"/>
  <c r="K43" i="6"/>
  <c r="BD145" i="2" l="1"/>
  <c r="BE146" i="2"/>
  <c r="BD146" i="2" s="1"/>
  <c r="BD106" i="5"/>
  <c r="BC105" i="5"/>
  <c r="F25" i="6"/>
  <c r="BD45" i="5"/>
  <c r="BC44" i="5"/>
  <c r="L38" i="6"/>
  <c r="M9" i="6"/>
  <c r="M43" i="6" s="1"/>
  <c r="L42" i="6"/>
  <c r="L43" i="6"/>
  <c r="L41" i="6"/>
  <c r="L40" i="6"/>
  <c r="L39" i="6"/>
  <c r="K44" i="6"/>
  <c r="G44" i="6"/>
  <c r="H44" i="6"/>
  <c r="I44" i="6"/>
  <c r="J44" i="6"/>
  <c r="L44" i="6"/>
  <c r="BC106" i="5" l="1"/>
  <c r="BD107" i="5"/>
  <c r="F26" i="6"/>
  <c r="M40" i="6"/>
  <c r="BD46" i="5"/>
  <c r="BC45" i="5"/>
  <c r="M39" i="6"/>
  <c r="M44" i="6"/>
  <c r="M38" i="6"/>
  <c r="M42" i="6"/>
  <c r="M41" i="6"/>
  <c r="N9" i="6"/>
  <c r="N10" i="6" s="1"/>
  <c r="M10" i="6"/>
  <c r="G45" i="6"/>
  <c r="H45" i="6"/>
  <c r="L45" i="6"/>
  <c r="J45" i="6"/>
  <c r="K45" i="6"/>
  <c r="M45" i="6"/>
  <c r="I45" i="6"/>
  <c r="BC107" i="5" l="1"/>
  <c r="BD108" i="5"/>
  <c r="F27" i="6"/>
  <c r="N44" i="6"/>
  <c r="BD91" i="5"/>
  <c r="BD47" i="5"/>
  <c r="BC46" i="5"/>
  <c r="N40" i="6"/>
  <c r="N38" i="6"/>
  <c r="N42" i="6"/>
  <c r="N41" i="6"/>
  <c r="O9" i="6"/>
  <c r="O10" i="6" s="1"/>
  <c r="N45" i="6"/>
  <c r="N43" i="6"/>
  <c r="N39" i="6"/>
  <c r="G46" i="6"/>
  <c r="I46" i="6"/>
  <c r="M46" i="6"/>
  <c r="K46" i="6"/>
  <c r="H46" i="6"/>
  <c r="J46" i="6"/>
  <c r="L46" i="6"/>
  <c r="N46" i="6"/>
  <c r="BD109" i="5" l="1"/>
  <c r="BC108" i="5"/>
  <c r="BC47" i="5"/>
  <c r="BD48" i="5"/>
  <c r="BC91" i="5"/>
  <c r="BD92" i="5"/>
  <c r="F28" i="6"/>
  <c r="F29" i="6" s="1"/>
  <c r="O38" i="6"/>
  <c r="O42" i="6"/>
  <c r="O41" i="6"/>
  <c r="P9" i="6"/>
  <c r="P46" i="6" s="1"/>
  <c r="O44" i="6"/>
  <c r="O40" i="6"/>
  <c r="O45" i="6"/>
  <c r="O46" i="6"/>
  <c r="O43" i="6"/>
  <c r="O39" i="6"/>
  <c r="G47" i="6"/>
  <c r="G20" i="6" s="1"/>
  <c r="K47" i="6"/>
  <c r="O47" i="6"/>
  <c r="I47" i="6"/>
  <c r="N47" i="6"/>
  <c r="J47" i="6"/>
  <c r="L47" i="6"/>
  <c r="H47" i="6"/>
  <c r="M47" i="6"/>
  <c r="Q9" i="6" l="1"/>
  <c r="Q47" i="6" s="1"/>
  <c r="BC109" i="5"/>
  <c r="BD110" i="5"/>
  <c r="BC92" i="5"/>
  <c r="BD93" i="5"/>
  <c r="BD49" i="5"/>
  <c r="BC48" i="5"/>
  <c r="Q10" i="6"/>
  <c r="P47" i="6"/>
  <c r="P40" i="6"/>
  <c r="P43" i="6"/>
  <c r="P45" i="6"/>
  <c r="P41" i="6"/>
  <c r="P10" i="6"/>
  <c r="P44" i="6"/>
  <c r="P39" i="6"/>
  <c r="P42" i="6"/>
  <c r="P38" i="6"/>
  <c r="R9" i="6"/>
  <c r="R48" i="6" s="1"/>
  <c r="Q38" i="6"/>
  <c r="Q39" i="6"/>
  <c r="Q40" i="6"/>
  <c r="Q41" i="6"/>
  <c r="Q42" i="6"/>
  <c r="Q43" i="6"/>
  <c r="Q44" i="6"/>
  <c r="Q45" i="6"/>
  <c r="Q46" i="6"/>
  <c r="G48" i="6"/>
  <c r="G21" i="6" s="1"/>
  <c r="H48" i="6"/>
  <c r="L48" i="6"/>
  <c r="P48" i="6"/>
  <c r="K48" i="6"/>
  <c r="Q48" i="6"/>
  <c r="M48" i="6"/>
  <c r="I48" i="6"/>
  <c r="N48" i="6"/>
  <c r="J48" i="6"/>
  <c r="O48" i="6"/>
  <c r="BC110" i="5" l="1"/>
  <c r="BD111" i="5"/>
  <c r="BD94" i="5"/>
  <c r="BC93" i="5"/>
  <c r="BC49" i="5"/>
  <c r="BD50" i="5"/>
  <c r="R10" i="6"/>
  <c r="S9" i="6"/>
  <c r="S10" i="6" s="1"/>
  <c r="R38" i="6"/>
  <c r="R39" i="6"/>
  <c r="R40" i="6"/>
  <c r="R41" i="6"/>
  <c r="R42" i="6"/>
  <c r="R43" i="6"/>
  <c r="R44" i="6"/>
  <c r="R45" i="6"/>
  <c r="R46" i="6"/>
  <c r="R47" i="6"/>
  <c r="G49" i="6"/>
  <c r="G22" i="6" s="1"/>
  <c r="I49" i="6"/>
  <c r="M49" i="6"/>
  <c r="Q49" i="6"/>
  <c r="L49" i="6"/>
  <c r="R49" i="6"/>
  <c r="H49" i="6"/>
  <c r="N49" i="6"/>
  <c r="P49" i="6"/>
  <c r="J49" i="6"/>
  <c r="K49" i="6"/>
  <c r="O49" i="6"/>
  <c r="BC50" i="5" l="1"/>
  <c r="BD51" i="5"/>
  <c r="BD112" i="5"/>
  <c r="BC111" i="5"/>
  <c r="BC94" i="5"/>
  <c r="BD95" i="5"/>
  <c r="S49" i="6"/>
  <c r="BD71" i="5"/>
  <c r="T9" i="6"/>
  <c r="T50" i="6" s="1"/>
  <c r="S38" i="6"/>
  <c r="S39" i="6"/>
  <c r="S40" i="6"/>
  <c r="S41" i="6"/>
  <c r="S42" i="6"/>
  <c r="S43" i="6"/>
  <c r="S44" i="6"/>
  <c r="S45" i="6"/>
  <c r="S46" i="6"/>
  <c r="S47" i="6"/>
  <c r="S48" i="6"/>
  <c r="G50" i="6"/>
  <c r="G23" i="6" s="1"/>
  <c r="J50" i="6"/>
  <c r="N50" i="6"/>
  <c r="R50" i="6"/>
  <c r="H50" i="6"/>
  <c r="M50" i="6"/>
  <c r="S50" i="6"/>
  <c r="I50" i="6"/>
  <c r="O50" i="6"/>
  <c r="Q50" i="6"/>
  <c r="K50" i="6"/>
  <c r="L50" i="6"/>
  <c r="P50" i="6"/>
  <c r="BC51" i="5" l="1"/>
  <c r="BD52" i="5"/>
  <c r="BC52" i="5" s="1"/>
  <c r="BC112" i="5"/>
  <c r="BD113" i="5"/>
  <c r="BC95" i="5"/>
  <c r="BD96" i="5"/>
  <c r="BC71" i="5"/>
  <c r="BD72" i="5"/>
  <c r="T10" i="6"/>
  <c r="U9" i="6"/>
  <c r="U10" i="6" s="1"/>
  <c r="T38" i="6"/>
  <c r="T39" i="6"/>
  <c r="T40" i="6"/>
  <c r="T41" i="6"/>
  <c r="T42" i="6"/>
  <c r="T43" i="6"/>
  <c r="T44" i="6"/>
  <c r="T45" i="6"/>
  <c r="T46" i="6"/>
  <c r="T47" i="6"/>
  <c r="T48" i="6"/>
  <c r="T49" i="6"/>
  <c r="G51" i="6"/>
  <c r="G24" i="6" s="1"/>
  <c r="K51" i="6"/>
  <c r="O51" i="6"/>
  <c r="S51" i="6"/>
  <c r="J51" i="6"/>
  <c r="P51" i="6"/>
  <c r="M51" i="6"/>
  <c r="T51" i="6"/>
  <c r="H51" i="6"/>
  <c r="I51" i="6"/>
  <c r="Q51" i="6"/>
  <c r="L51" i="6"/>
  <c r="R51" i="6"/>
  <c r="N51" i="6"/>
  <c r="BC113" i="5" l="1"/>
  <c r="BD114" i="5"/>
  <c r="BC96" i="5"/>
  <c r="BD97" i="5"/>
  <c r="U51" i="6"/>
  <c r="BD73" i="5"/>
  <c r="BC72" i="5"/>
  <c r="V9" i="6"/>
  <c r="V52" i="6" s="1"/>
  <c r="U38" i="6"/>
  <c r="U39" i="6"/>
  <c r="U40" i="6"/>
  <c r="U41" i="6"/>
  <c r="U42" i="6"/>
  <c r="U43" i="6"/>
  <c r="U44" i="6"/>
  <c r="U17" i="6" s="1"/>
  <c r="U45" i="6"/>
  <c r="U46" i="6"/>
  <c r="U47" i="6"/>
  <c r="U48" i="6"/>
  <c r="U49" i="6"/>
  <c r="U50" i="6"/>
  <c r="G52" i="6"/>
  <c r="G25" i="6" s="1"/>
  <c r="H52" i="6"/>
  <c r="L52" i="6"/>
  <c r="P52" i="6"/>
  <c r="T52" i="6"/>
  <c r="K52" i="6"/>
  <c r="Q52" i="6"/>
  <c r="J52" i="6"/>
  <c r="R52" i="6"/>
  <c r="N52" i="6"/>
  <c r="U52" i="6"/>
  <c r="I52" i="6"/>
  <c r="O52" i="6"/>
  <c r="M52" i="6"/>
  <c r="S52" i="6"/>
  <c r="S17" i="6"/>
  <c r="O17" i="6"/>
  <c r="K17" i="6"/>
  <c r="G17" i="6"/>
  <c r="R17" i="6"/>
  <c r="M17" i="6"/>
  <c r="H17" i="6"/>
  <c r="Q17" i="6"/>
  <c r="L17" i="6"/>
  <c r="P17" i="6"/>
  <c r="N17" i="6"/>
  <c r="J17" i="6"/>
  <c r="T17" i="6"/>
  <c r="I17" i="6"/>
  <c r="BC114" i="5" l="1"/>
  <c r="BD115" i="5"/>
  <c r="BC115" i="5" s="1"/>
  <c r="BC97" i="5"/>
  <c r="BD98" i="5"/>
  <c r="BC73" i="5"/>
  <c r="BD74" i="5"/>
  <c r="V10" i="6"/>
  <c r="W9" i="6"/>
  <c r="W10" i="6" s="1"/>
  <c r="V38" i="6"/>
  <c r="V39" i="6"/>
  <c r="V40" i="6"/>
  <c r="V41" i="6"/>
  <c r="V42" i="6"/>
  <c r="V43" i="6"/>
  <c r="V16" i="6" s="1"/>
  <c r="V44" i="6"/>
  <c r="V17" i="6" s="1"/>
  <c r="V45" i="6"/>
  <c r="V46" i="6"/>
  <c r="V47" i="6"/>
  <c r="V48" i="6"/>
  <c r="V49" i="6"/>
  <c r="V50" i="6"/>
  <c r="V51" i="6"/>
  <c r="G53" i="6"/>
  <c r="G26" i="6" s="1"/>
  <c r="I53" i="6"/>
  <c r="M53" i="6"/>
  <c r="Q53" i="6"/>
  <c r="U53" i="6"/>
  <c r="L53" i="6"/>
  <c r="R53" i="6"/>
  <c r="H53" i="6"/>
  <c r="O53" i="6"/>
  <c r="V53" i="6"/>
  <c r="K53" i="6"/>
  <c r="S53" i="6"/>
  <c r="N53" i="6"/>
  <c r="T53" i="6"/>
  <c r="P53" i="6"/>
  <c r="J53" i="6"/>
  <c r="S16" i="6"/>
  <c r="O16" i="6"/>
  <c r="R16" i="6"/>
  <c r="M16" i="6"/>
  <c r="I16" i="6"/>
  <c r="T16" i="6"/>
  <c r="L16" i="6"/>
  <c r="G16" i="6"/>
  <c r="Q16" i="6"/>
  <c r="K16" i="6"/>
  <c r="P16" i="6"/>
  <c r="J16" i="6"/>
  <c r="U16" i="6"/>
  <c r="N16" i="6"/>
  <c r="H16" i="6"/>
  <c r="BC98" i="5" l="1"/>
  <c r="BD99" i="5"/>
  <c r="BC74" i="5"/>
  <c r="BD75" i="5"/>
  <c r="W53" i="6"/>
  <c r="X9" i="6"/>
  <c r="X54" i="6" s="1"/>
  <c r="W38" i="6"/>
  <c r="W39" i="6"/>
  <c r="W40" i="6"/>
  <c r="W41" i="6"/>
  <c r="W42" i="6"/>
  <c r="W15" i="6" s="1"/>
  <c r="W43" i="6"/>
  <c r="W16" i="6" s="1"/>
  <c r="W44" i="6"/>
  <c r="W17" i="6" s="1"/>
  <c r="W45" i="6"/>
  <c r="W46" i="6"/>
  <c r="W47" i="6"/>
  <c r="W48" i="6"/>
  <c r="W49" i="6"/>
  <c r="W50" i="6"/>
  <c r="W51" i="6"/>
  <c r="W52" i="6"/>
  <c r="G54" i="6"/>
  <c r="G27" i="6" s="1"/>
  <c r="J54" i="6"/>
  <c r="N54" i="6"/>
  <c r="R54" i="6"/>
  <c r="V54" i="6"/>
  <c r="H54" i="6"/>
  <c r="M54" i="6"/>
  <c r="K54" i="6"/>
  <c r="P54" i="6"/>
  <c r="U54" i="6"/>
  <c r="L54" i="6"/>
  <c r="Q54" i="6"/>
  <c r="W54" i="6"/>
  <c r="S54" i="6"/>
  <c r="O54" i="6"/>
  <c r="T54" i="6"/>
  <c r="I54" i="6"/>
  <c r="U15" i="6"/>
  <c r="Q15" i="6"/>
  <c r="M15" i="6"/>
  <c r="I15" i="6"/>
  <c r="R15" i="6"/>
  <c r="L15" i="6"/>
  <c r="G15" i="6"/>
  <c r="V15" i="6"/>
  <c r="P15" i="6"/>
  <c r="K15" i="6"/>
  <c r="T15" i="6"/>
  <c r="O15" i="6"/>
  <c r="J15" i="6"/>
  <c r="H15" i="6"/>
  <c r="S15" i="6"/>
  <c r="N15" i="6"/>
  <c r="BC99" i="5" l="1"/>
  <c r="BD100" i="5"/>
  <c r="BC100" i="5" s="1"/>
  <c r="BD76" i="5"/>
  <c r="BC75" i="5"/>
  <c r="X10" i="6"/>
  <c r="Y9" i="6"/>
  <c r="Y55" i="6" s="1"/>
  <c r="X38" i="6"/>
  <c r="X39" i="6"/>
  <c r="X40" i="6"/>
  <c r="X41" i="6"/>
  <c r="X14" i="6" s="1"/>
  <c r="X42" i="6"/>
  <c r="X15" i="6" s="1"/>
  <c r="X43" i="6"/>
  <c r="X16" i="6" s="1"/>
  <c r="X44" i="6"/>
  <c r="X17" i="6" s="1"/>
  <c r="X45" i="6"/>
  <c r="X46" i="6"/>
  <c r="X47" i="6"/>
  <c r="X48" i="6"/>
  <c r="X49" i="6"/>
  <c r="X50" i="6"/>
  <c r="X51" i="6"/>
  <c r="X52" i="6"/>
  <c r="X53" i="6"/>
  <c r="G55" i="6"/>
  <c r="G28" i="6" s="1"/>
  <c r="K55" i="6"/>
  <c r="O55" i="6"/>
  <c r="S55" i="6"/>
  <c r="W55" i="6"/>
  <c r="I55" i="6"/>
  <c r="L55" i="6"/>
  <c r="Q55" i="6"/>
  <c r="V55" i="6"/>
  <c r="H55" i="6"/>
  <c r="M55" i="6"/>
  <c r="R55" i="6"/>
  <c r="X55" i="6"/>
  <c r="N55" i="6"/>
  <c r="T55" i="6"/>
  <c r="J55" i="6"/>
  <c r="P55" i="6"/>
  <c r="U55" i="6"/>
  <c r="U14" i="6"/>
  <c r="Q14" i="6"/>
  <c r="M14" i="6"/>
  <c r="I14" i="6"/>
  <c r="W14" i="6"/>
  <c r="R14" i="6"/>
  <c r="L14" i="6"/>
  <c r="G14" i="6"/>
  <c r="V14" i="6"/>
  <c r="P14" i="6"/>
  <c r="K14" i="6"/>
  <c r="T14" i="6"/>
  <c r="O14" i="6"/>
  <c r="J14" i="6"/>
  <c r="S14" i="6"/>
  <c r="N14" i="6"/>
  <c r="H14" i="6"/>
  <c r="BD77" i="5" l="1"/>
  <c r="BC76" i="5"/>
  <c r="Y10" i="6"/>
  <c r="Z9" i="6"/>
  <c r="Z10" i="6" s="1"/>
  <c r="Y38" i="6"/>
  <c r="Y39" i="6"/>
  <c r="Y40" i="6"/>
  <c r="Y13" i="6" s="1"/>
  <c r="Y41" i="6"/>
  <c r="Y14" i="6" s="1"/>
  <c r="Y42" i="6"/>
  <c r="Y15" i="6" s="1"/>
  <c r="Y43" i="6"/>
  <c r="Y16" i="6" s="1"/>
  <c r="Y44" i="6"/>
  <c r="Y17" i="6" s="1"/>
  <c r="Y45" i="6"/>
  <c r="Y46" i="6"/>
  <c r="Y47" i="6"/>
  <c r="Y48" i="6"/>
  <c r="Y49" i="6"/>
  <c r="Y50" i="6"/>
  <c r="Y51" i="6"/>
  <c r="Y52" i="6"/>
  <c r="Y53" i="6"/>
  <c r="Y54" i="6"/>
  <c r="G56" i="6"/>
  <c r="G29" i="6" s="1"/>
  <c r="H56" i="6"/>
  <c r="L56" i="6"/>
  <c r="P56" i="6"/>
  <c r="T56" i="6"/>
  <c r="X56" i="6"/>
  <c r="M56" i="6"/>
  <c r="R56" i="6"/>
  <c r="W56" i="6"/>
  <c r="I56" i="6"/>
  <c r="N56" i="6"/>
  <c r="S56" i="6"/>
  <c r="Y56" i="6"/>
  <c r="O56" i="6"/>
  <c r="Z56" i="6"/>
  <c r="Q56" i="6"/>
  <c r="J56" i="6"/>
  <c r="U56" i="6"/>
  <c r="K56" i="6"/>
  <c r="V56" i="6"/>
  <c r="U13" i="6"/>
  <c r="Q13" i="6"/>
  <c r="M13" i="6"/>
  <c r="I13" i="6"/>
  <c r="W13" i="6"/>
  <c r="R13" i="6"/>
  <c r="L13" i="6"/>
  <c r="G13" i="6"/>
  <c r="V13" i="6"/>
  <c r="P13" i="6"/>
  <c r="K13" i="6"/>
  <c r="T13" i="6"/>
  <c r="O13" i="6"/>
  <c r="J13" i="6"/>
  <c r="H13" i="6"/>
  <c r="X13" i="6"/>
  <c r="S13" i="6"/>
  <c r="N13" i="6"/>
  <c r="BD78" i="5" l="1"/>
  <c r="BC77" i="5"/>
  <c r="AA9" i="6"/>
  <c r="AA10" i="6" s="1"/>
  <c r="Z38" i="6"/>
  <c r="Z39" i="6"/>
  <c r="Z12" i="6" s="1"/>
  <c r="Z40" i="6"/>
  <c r="Z13" i="6" s="1"/>
  <c r="Z41" i="6"/>
  <c r="Z14" i="6" s="1"/>
  <c r="Z42" i="6"/>
  <c r="Z15" i="6" s="1"/>
  <c r="Z43" i="6"/>
  <c r="Z16" i="6" s="1"/>
  <c r="Z44" i="6"/>
  <c r="Z17" i="6" s="1"/>
  <c r="Z45" i="6"/>
  <c r="Z46" i="6"/>
  <c r="Z47" i="6"/>
  <c r="Z48" i="6"/>
  <c r="Z49" i="6"/>
  <c r="Z50" i="6"/>
  <c r="Z51" i="6"/>
  <c r="Z52" i="6"/>
  <c r="Z53" i="6"/>
  <c r="Z54" i="6"/>
  <c r="Z55" i="6"/>
  <c r="Y12" i="6"/>
  <c r="U12" i="6"/>
  <c r="Q12" i="6"/>
  <c r="M12" i="6"/>
  <c r="I12" i="6"/>
  <c r="W12" i="6"/>
  <c r="R12" i="6"/>
  <c r="L12" i="6"/>
  <c r="G12" i="6"/>
  <c r="V12" i="6"/>
  <c r="P12" i="6"/>
  <c r="K12" i="6"/>
  <c r="T12" i="6"/>
  <c r="O12" i="6"/>
  <c r="J12" i="6"/>
  <c r="S12" i="6"/>
  <c r="N12" i="6"/>
  <c r="H12" i="6"/>
  <c r="X12" i="6"/>
  <c r="F49" i="2"/>
  <c r="G49" i="2"/>
  <c r="H49" i="2"/>
  <c r="I49" i="2"/>
  <c r="J49" i="2"/>
  <c r="K49" i="2"/>
  <c r="L49" i="2"/>
  <c r="M49" i="2"/>
  <c r="N49" i="2"/>
  <c r="BD79" i="5" l="1"/>
  <c r="BC78" i="5"/>
  <c r="AB9" i="6"/>
  <c r="AB10" i="6" s="1"/>
  <c r="AA38" i="6"/>
  <c r="AA11" i="6" s="1"/>
  <c r="AA39" i="6"/>
  <c r="AA12" i="6" s="1"/>
  <c r="AA40" i="6"/>
  <c r="AA13" i="6" s="1"/>
  <c r="AA41" i="6"/>
  <c r="AA14" i="6" s="1"/>
  <c r="AA42" i="6"/>
  <c r="AA15" i="6" s="1"/>
  <c r="AA43" i="6"/>
  <c r="AA16" i="6" s="1"/>
  <c r="AA44" i="6"/>
  <c r="AA17" i="6" s="1"/>
  <c r="AA45" i="6"/>
  <c r="AA46" i="6"/>
  <c r="AA47" i="6"/>
  <c r="AA48" i="6"/>
  <c r="AA49" i="6"/>
  <c r="AA50" i="6"/>
  <c r="AA51" i="6"/>
  <c r="AA52" i="6"/>
  <c r="AA53" i="6"/>
  <c r="AA54" i="6"/>
  <c r="AA55" i="6"/>
  <c r="AA56" i="6"/>
  <c r="O18" i="6"/>
  <c r="R18" i="6"/>
  <c r="P18" i="6"/>
  <c r="J18" i="6"/>
  <c r="M18" i="6"/>
  <c r="N18" i="6"/>
  <c r="H18" i="6"/>
  <c r="Q18" i="6"/>
  <c r="S18" i="6"/>
  <c r="L18" i="6"/>
  <c r="U18" i="6"/>
  <c r="I18" i="6"/>
  <c r="K18" i="6"/>
  <c r="V18" i="6"/>
  <c r="T18" i="6"/>
  <c r="G18" i="6"/>
  <c r="W18" i="6"/>
  <c r="X18" i="6"/>
  <c r="Y18" i="6"/>
  <c r="Z18" i="6"/>
  <c r="AA18" i="6"/>
  <c r="Y11" i="6"/>
  <c r="U11" i="6"/>
  <c r="Q11" i="6"/>
  <c r="M11" i="6"/>
  <c r="I11" i="6"/>
  <c r="W11" i="6"/>
  <c r="R11" i="6"/>
  <c r="L11" i="6"/>
  <c r="G11" i="6"/>
  <c r="V11" i="6"/>
  <c r="P11" i="6"/>
  <c r="K11" i="6"/>
  <c r="X11" i="6"/>
  <c r="N11" i="6"/>
  <c r="T11" i="6"/>
  <c r="J11" i="6"/>
  <c r="S11" i="6"/>
  <c r="H11" i="6"/>
  <c r="Z11" i="6"/>
  <c r="O11" i="6"/>
  <c r="AD115" i="5"/>
  <c r="AD114" i="5"/>
  <c r="AD118" i="5"/>
  <c r="AD111" i="5"/>
  <c r="AD117" i="5"/>
  <c r="AD116" i="5"/>
  <c r="AD113" i="5"/>
  <c r="AD112" i="5"/>
  <c r="AD110" i="5"/>
  <c r="BC79" i="5" l="1"/>
  <c r="BD80" i="5"/>
  <c r="BE147" i="2"/>
  <c r="AC9" i="6"/>
  <c r="AC10" i="6" s="1"/>
  <c r="AB38" i="6"/>
  <c r="AB11" i="6" s="1"/>
  <c r="AB39" i="6"/>
  <c r="AB12" i="6" s="1"/>
  <c r="AB40" i="6"/>
  <c r="AB13" i="6" s="1"/>
  <c r="AB41" i="6"/>
  <c r="AB14" i="6" s="1"/>
  <c r="AB42" i="6"/>
  <c r="AB15" i="6" s="1"/>
  <c r="AB43" i="6"/>
  <c r="AB16" i="6" s="1"/>
  <c r="AB44" i="6"/>
  <c r="AB17" i="6" s="1"/>
  <c r="AB45" i="6"/>
  <c r="AB18" i="6" s="1"/>
  <c r="AB46" i="6"/>
  <c r="AB19" i="6" s="1"/>
  <c r="AB47" i="6"/>
  <c r="AB48" i="6"/>
  <c r="AB49" i="6"/>
  <c r="AB50" i="6"/>
  <c r="AB51" i="6"/>
  <c r="AB52" i="6"/>
  <c r="AB53" i="6"/>
  <c r="AB54" i="6"/>
  <c r="AB55" i="6"/>
  <c r="AB56" i="6"/>
  <c r="P19" i="6"/>
  <c r="L19" i="6"/>
  <c r="V19" i="6"/>
  <c r="Z19" i="6"/>
  <c r="M19" i="6"/>
  <c r="U19" i="6"/>
  <c r="T19" i="6"/>
  <c r="I19" i="6"/>
  <c r="W19" i="6"/>
  <c r="S19" i="6"/>
  <c r="J19" i="6"/>
  <c r="R19" i="6"/>
  <c r="G19" i="6"/>
  <c r="N19" i="6"/>
  <c r="X19" i="6"/>
  <c r="AA19" i="6"/>
  <c r="O19" i="6"/>
  <c r="K19" i="6"/>
  <c r="Q19" i="6"/>
  <c r="H19" i="6"/>
  <c r="Y19" i="6"/>
  <c r="C36" i="5"/>
  <c r="Q11" i="5"/>
  <c r="O9" i="5" s="1"/>
  <c r="R13" i="5"/>
  <c r="E18" i="5"/>
  <c r="E19" i="5" s="1"/>
  <c r="G18" i="5"/>
  <c r="G19" i="5" s="1"/>
  <c r="H18" i="5"/>
  <c r="H19" i="5" s="1"/>
  <c r="I18" i="5"/>
  <c r="I19" i="5" s="1"/>
  <c r="J18" i="5"/>
  <c r="J19" i="5" s="1"/>
  <c r="K18" i="5"/>
  <c r="K19" i="5" s="1"/>
  <c r="L18" i="5"/>
  <c r="L19" i="5" s="1"/>
  <c r="M18" i="5"/>
  <c r="M19" i="5" s="1"/>
  <c r="AD19" i="5"/>
  <c r="D27" i="5"/>
  <c r="D28" i="5"/>
  <c r="D29" i="5"/>
  <c r="N29" i="5"/>
  <c r="D30" i="5"/>
  <c r="N30" i="5"/>
  <c r="D31" i="5"/>
  <c r="N31" i="5"/>
  <c r="D32" i="5"/>
  <c r="N32" i="5"/>
  <c r="D33" i="5"/>
  <c r="N33" i="5"/>
  <c r="N34" i="5"/>
  <c r="N17" i="5" l="1"/>
  <c r="L27" i="5" s="1"/>
  <c r="BD86" i="5"/>
  <c r="BC80" i="5"/>
  <c r="BD81" i="5"/>
  <c r="BD147" i="2"/>
  <c r="BE148" i="2"/>
  <c r="AD9" i="6"/>
  <c r="AD10" i="6" s="1"/>
  <c r="AC38" i="6"/>
  <c r="AC11" i="6" s="1"/>
  <c r="AC39" i="6"/>
  <c r="AC12" i="6" s="1"/>
  <c r="AC40" i="6"/>
  <c r="AC13" i="6" s="1"/>
  <c r="AC41" i="6"/>
  <c r="AC14" i="6" s="1"/>
  <c r="AC42" i="6"/>
  <c r="AC15" i="6" s="1"/>
  <c r="AC43" i="6"/>
  <c r="AC16" i="6" s="1"/>
  <c r="AC44" i="6"/>
  <c r="AC17" i="6" s="1"/>
  <c r="AC45" i="6"/>
  <c r="AC18" i="6" s="1"/>
  <c r="AC46" i="6"/>
  <c r="AC19" i="6" s="1"/>
  <c r="AC47" i="6"/>
  <c r="AC20" i="6" s="1"/>
  <c r="AC48" i="6"/>
  <c r="AC49" i="6"/>
  <c r="AC50" i="6"/>
  <c r="AC51" i="6"/>
  <c r="AC52" i="6"/>
  <c r="AC53" i="6"/>
  <c r="AC54" i="6"/>
  <c r="AC55" i="6"/>
  <c r="AC56" i="6"/>
  <c r="H35" i="5"/>
  <c r="G8" i="5" s="1"/>
  <c r="H6" i="2" s="1"/>
  <c r="AA20" i="6"/>
  <c r="L20" i="6"/>
  <c r="Q20" i="6"/>
  <c r="V20" i="6"/>
  <c r="Z20" i="6"/>
  <c r="I20" i="6"/>
  <c r="T20" i="6"/>
  <c r="J20" i="6"/>
  <c r="K20" i="6"/>
  <c r="H20" i="6"/>
  <c r="P20" i="6"/>
  <c r="W20" i="6"/>
  <c r="X20" i="6"/>
  <c r="R20" i="6"/>
  <c r="N20" i="6"/>
  <c r="S20" i="6"/>
  <c r="U20" i="6"/>
  <c r="Y20" i="6"/>
  <c r="O20" i="6"/>
  <c r="M20" i="6"/>
  <c r="AB20" i="6"/>
  <c r="AH19" i="5"/>
  <c r="AD95" i="5"/>
  <c r="AD93" i="5"/>
  <c r="AD91" i="5"/>
  <c r="AD94" i="5"/>
  <c r="AD92" i="5"/>
  <c r="AD90" i="5"/>
  <c r="AD81" i="5"/>
  <c r="AD80" i="5"/>
  <c r="O27" i="5"/>
  <c r="AD106" i="5"/>
  <c r="AD107" i="5"/>
  <c r="AD103" i="5"/>
  <c r="AD104" i="5"/>
  <c r="AD102" i="5"/>
  <c r="AD100" i="5"/>
  <c r="AD105" i="5"/>
  <c r="AD101" i="5"/>
  <c r="AD99" i="5"/>
  <c r="AD89" i="5"/>
  <c r="AD98" i="5"/>
  <c r="AD97" i="5"/>
  <c r="AD96" i="5"/>
  <c r="O14" i="5"/>
  <c r="AD15" i="5"/>
  <c r="O13" i="5" s="1"/>
  <c r="AD18" i="5" l="1"/>
  <c r="AH18" i="5"/>
  <c r="AL18" i="5" s="1"/>
  <c r="D23" i="5"/>
  <c r="BD87" i="5"/>
  <c r="BC86" i="5"/>
  <c r="BD82" i="5"/>
  <c r="BC81" i="5"/>
  <c r="BE149" i="2"/>
  <c r="BD148" i="2"/>
  <c r="AE9" i="6"/>
  <c r="AE10" i="6" s="1"/>
  <c r="AD38" i="6"/>
  <c r="AD11" i="6" s="1"/>
  <c r="AD39" i="6"/>
  <c r="AD12" i="6" s="1"/>
  <c r="AD40" i="6"/>
  <c r="AD13" i="6" s="1"/>
  <c r="AD41" i="6"/>
  <c r="AD14" i="6" s="1"/>
  <c r="AD42" i="6"/>
  <c r="AD15" i="6" s="1"/>
  <c r="AD43" i="6"/>
  <c r="AD16" i="6" s="1"/>
  <c r="AD44" i="6"/>
  <c r="AD17" i="6" s="1"/>
  <c r="AD45" i="6"/>
  <c r="AD18" i="6" s="1"/>
  <c r="AD46" i="6"/>
  <c r="AD19" i="6" s="1"/>
  <c r="AD47" i="6"/>
  <c r="AD20" i="6" s="1"/>
  <c r="AD48" i="6"/>
  <c r="AD21" i="6" s="1"/>
  <c r="AD49" i="6"/>
  <c r="AD50" i="6"/>
  <c r="AD51" i="6"/>
  <c r="AD52" i="6"/>
  <c r="AD53" i="6"/>
  <c r="AD54" i="6"/>
  <c r="AD55" i="6"/>
  <c r="AD56" i="6"/>
  <c r="O15" i="5"/>
  <c r="O16" i="5" s="1"/>
  <c r="AB21" i="6"/>
  <c r="K21" i="6"/>
  <c r="S21" i="6"/>
  <c r="J21" i="6"/>
  <c r="M21" i="6"/>
  <c r="V21" i="6"/>
  <c r="Z21" i="6"/>
  <c r="N21" i="6"/>
  <c r="W21" i="6"/>
  <c r="AA21" i="6"/>
  <c r="H21" i="6"/>
  <c r="P21" i="6"/>
  <c r="I21" i="6"/>
  <c r="O21" i="6"/>
  <c r="T21" i="6"/>
  <c r="X21" i="6"/>
  <c r="R21" i="6"/>
  <c r="L21" i="6"/>
  <c r="Q21" i="6"/>
  <c r="U21" i="6"/>
  <c r="Y21" i="6"/>
  <c r="AC21" i="6"/>
  <c r="AD52" i="5"/>
  <c r="AD73" i="5"/>
  <c r="AD87" i="5"/>
  <c r="AD58" i="5"/>
  <c r="AD84" i="5"/>
  <c r="AD53" i="5"/>
  <c r="AD69" i="5"/>
  <c r="AD44" i="5"/>
  <c r="AD61" i="5"/>
  <c r="AD77" i="5"/>
  <c r="AD59" i="5"/>
  <c r="AD67" i="5"/>
  <c r="AD75" i="5"/>
  <c r="AD65" i="5"/>
  <c r="AD86" i="5"/>
  <c r="AD83" i="5"/>
  <c r="AD70" i="5"/>
  <c r="AD85" i="5"/>
  <c r="AD60" i="5"/>
  <c r="AD49" i="5"/>
  <c r="AD66" i="5"/>
  <c r="AD74" i="5"/>
  <c r="AD68" i="5"/>
  <c r="AD51" i="5"/>
  <c r="AD82" i="5"/>
  <c r="AD57" i="5"/>
  <c r="AD56" i="5"/>
  <c r="AD64" i="5"/>
  <c r="AD72" i="5"/>
  <c r="AD88" i="5"/>
  <c r="AD47" i="5"/>
  <c r="AD55" i="5"/>
  <c r="AD63" i="5"/>
  <c r="AD71" i="5"/>
  <c r="AD79" i="5"/>
  <c r="AD50" i="5"/>
  <c r="AD46" i="5"/>
  <c r="AD45" i="5"/>
  <c r="AD76" i="5"/>
  <c r="AD48" i="5"/>
  <c r="AD54" i="5"/>
  <c r="AD62" i="5"/>
  <c r="AD78" i="5"/>
  <c r="AD16" i="5"/>
  <c r="AC24" i="5" s="1"/>
  <c r="AH15" i="5"/>
  <c r="AC23" i="5"/>
  <c r="BC82" i="5" l="1"/>
  <c r="BD83" i="5"/>
  <c r="BD88" i="5"/>
  <c r="BC87" i="5"/>
  <c r="AL129" i="5"/>
  <c r="AH129" i="5" s="1"/>
  <c r="AL128" i="5"/>
  <c r="AH128" i="5" s="1"/>
  <c r="AL120" i="5"/>
  <c r="AL136" i="5"/>
  <c r="AH136" i="5" s="1"/>
  <c r="AL121" i="5"/>
  <c r="AL137" i="5"/>
  <c r="AH137" i="5" s="1"/>
  <c r="AL133" i="5"/>
  <c r="AH133" i="5" s="1"/>
  <c r="AL124" i="5"/>
  <c r="AH124" i="5" s="1"/>
  <c r="AL135" i="5"/>
  <c r="AH135" i="5" s="1"/>
  <c r="AL130" i="5"/>
  <c r="AH130" i="5" s="1"/>
  <c r="AL125" i="5"/>
  <c r="AH125" i="5" s="1"/>
  <c r="AL142" i="5"/>
  <c r="AH142" i="5" s="1"/>
  <c r="AL126" i="5"/>
  <c r="AH126" i="5" s="1"/>
  <c r="AL131" i="5"/>
  <c r="AH131" i="5" s="1"/>
  <c r="AL140" i="5"/>
  <c r="AH140" i="5" s="1"/>
  <c r="AL143" i="5"/>
  <c r="AH143" i="5" s="1"/>
  <c r="AL127" i="5"/>
  <c r="AH127" i="5" s="1"/>
  <c r="AL138" i="5"/>
  <c r="AH138" i="5" s="1"/>
  <c r="AL122" i="5"/>
  <c r="AH122" i="5" s="1"/>
  <c r="AL141" i="5"/>
  <c r="AH141" i="5" s="1"/>
  <c r="AL132" i="5"/>
  <c r="AH132" i="5" s="1"/>
  <c r="AL139" i="5"/>
  <c r="AH139" i="5" s="1"/>
  <c r="AL123" i="5"/>
  <c r="AH123" i="5" s="1"/>
  <c r="AL134" i="5"/>
  <c r="AH134" i="5" s="1"/>
  <c r="BE150" i="2"/>
  <c r="BD149" i="2"/>
  <c r="AL108" i="5"/>
  <c r="AL109" i="5"/>
  <c r="AL114" i="5"/>
  <c r="AH114" i="5" s="1"/>
  <c r="AL119" i="5"/>
  <c r="AH119" i="5" s="1"/>
  <c r="AL110" i="5"/>
  <c r="AH110" i="5" s="1"/>
  <c r="AL112" i="5"/>
  <c r="AH112" i="5" s="1"/>
  <c r="AL113" i="5"/>
  <c r="AH113" i="5" s="1"/>
  <c r="AL118" i="5"/>
  <c r="AH118" i="5" s="1"/>
  <c r="AL116" i="5"/>
  <c r="AH116" i="5" s="1"/>
  <c r="AL117" i="5"/>
  <c r="AH117" i="5" s="1"/>
  <c r="AL111" i="5"/>
  <c r="AH111" i="5" s="1"/>
  <c r="AL115" i="5"/>
  <c r="AH115" i="5" s="1"/>
  <c r="AL96" i="5"/>
  <c r="AH96" i="5" s="1"/>
  <c r="AL102" i="5"/>
  <c r="AH102" i="5" s="1"/>
  <c r="AL107" i="5"/>
  <c r="AH107" i="5" s="1"/>
  <c r="AL97" i="5"/>
  <c r="AH97" i="5" s="1"/>
  <c r="AL106" i="5"/>
  <c r="AH106" i="5" s="1"/>
  <c r="AL100" i="5"/>
  <c r="AH100" i="5" s="1"/>
  <c r="AL104" i="5"/>
  <c r="AH104" i="5" s="1"/>
  <c r="AL101" i="5"/>
  <c r="AH101" i="5" s="1"/>
  <c r="AL99" i="5"/>
  <c r="AH99" i="5" s="1"/>
  <c r="AL105" i="5"/>
  <c r="AH105" i="5" s="1"/>
  <c r="AL98" i="5"/>
  <c r="AH98" i="5" s="1"/>
  <c r="AL103" i="5"/>
  <c r="AH103" i="5" s="1"/>
  <c r="AL25" i="5"/>
  <c r="AL45" i="5"/>
  <c r="AH45" i="5" s="1"/>
  <c r="AL53" i="5"/>
  <c r="AH53" i="5" s="1"/>
  <c r="AL61" i="5"/>
  <c r="AH61" i="5" s="1"/>
  <c r="AL69" i="5"/>
  <c r="AH69" i="5" s="1"/>
  <c r="AL77" i="5"/>
  <c r="AH77" i="5" s="1"/>
  <c r="AL85" i="5"/>
  <c r="AH85" i="5" s="1"/>
  <c r="AL93" i="5"/>
  <c r="AH93" i="5" s="1"/>
  <c r="AL30" i="5"/>
  <c r="AL42" i="5"/>
  <c r="AL50" i="5"/>
  <c r="AH50" i="5" s="1"/>
  <c r="AL58" i="5"/>
  <c r="AH58" i="5" s="1"/>
  <c r="AL70" i="5"/>
  <c r="AH70" i="5" s="1"/>
  <c r="AL82" i="5"/>
  <c r="AH82" i="5" s="1"/>
  <c r="AL94" i="5"/>
  <c r="AH94" i="5" s="1"/>
  <c r="AL47" i="5"/>
  <c r="AH47" i="5" s="1"/>
  <c r="AL67" i="5"/>
  <c r="AH67" i="5" s="1"/>
  <c r="AL75" i="5"/>
  <c r="AH75" i="5" s="1"/>
  <c r="AL91" i="5"/>
  <c r="AH91" i="5" s="1"/>
  <c r="AL34" i="5"/>
  <c r="AL62" i="5"/>
  <c r="AH62" i="5" s="1"/>
  <c r="AL78" i="5"/>
  <c r="AH78" i="5" s="1"/>
  <c r="AL90" i="5"/>
  <c r="AH90" i="5" s="1"/>
  <c r="AL59" i="5"/>
  <c r="AH59" i="5" s="1"/>
  <c r="AL87" i="5"/>
  <c r="AH87" i="5" s="1"/>
  <c r="AL27" i="5"/>
  <c r="AL31" i="5"/>
  <c r="AL35" i="5"/>
  <c r="AL39" i="5"/>
  <c r="AL51" i="5"/>
  <c r="AH51" i="5" s="1"/>
  <c r="AL55" i="5"/>
  <c r="AH55" i="5" s="1"/>
  <c r="AL63" i="5"/>
  <c r="AH63" i="5" s="1"/>
  <c r="AL71" i="5"/>
  <c r="AH71" i="5" s="1"/>
  <c r="AL83" i="5"/>
  <c r="AH83" i="5" s="1"/>
  <c r="AL95" i="5"/>
  <c r="AH95" i="5" s="1"/>
  <c r="AL28" i="5"/>
  <c r="AL32" i="5"/>
  <c r="AL36" i="5"/>
  <c r="AL40" i="5"/>
  <c r="AL44" i="5"/>
  <c r="AH44" i="5" s="1"/>
  <c r="AL48" i="5"/>
  <c r="AH48" i="5" s="1"/>
  <c r="AL52" i="5"/>
  <c r="AH52" i="5" s="1"/>
  <c r="AL56" i="5"/>
  <c r="AH56" i="5" s="1"/>
  <c r="AL60" i="5"/>
  <c r="AH60" i="5" s="1"/>
  <c r="AL64" i="5"/>
  <c r="AH64" i="5" s="1"/>
  <c r="AL68" i="5"/>
  <c r="AH68" i="5" s="1"/>
  <c r="AL72" i="5"/>
  <c r="AH72" i="5" s="1"/>
  <c r="AL76" i="5"/>
  <c r="AH76" i="5" s="1"/>
  <c r="AL80" i="5"/>
  <c r="AH80" i="5" s="1"/>
  <c r="AL84" i="5"/>
  <c r="AH84" i="5" s="1"/>
  <c r="AL88" i="5"/>
  <c r="AH88" i="5" s="1"/>
  <c r="AL92" i="5"/>
  <c r="AH92" i="5" s="1"/>
  <c r="AL24" i="5"/>
  <c r="AL29" i="5"/>
  <c r="AL33" i="5"/>
  <c r="AL37" i="5"/>
  <c r="AL41" i="5"/>
  <c r="AL49" i="5"/>
  <c r="AH49" i="5" s="1"/>
  <c r="AL57" i="5"/>
  <c r="AH57" i="5" s="1"/>
  <c r="AL65" i="5"/>
  <c r="AH65" i="5" s="1"/>
  <c r="AL73" i="5"/>
  <c r="AH73" i="5" s="1"/>
  <c r="AL81" i="5"/>
  <c r="AH81" i="5" s="1"/>
  <c r="AL89" i="5"/>
  <c r="AH89" i="5" s="1"/>
  <c r="AL26" i="5"/>
  <c r="AL38" i="5"/>
  <c r="AL46" i="5"/>
  <c r="AH46" i="5" s="1"/>
  <c r="AL54" i="5"/>
  <c r="AH54" i="5" s="1"/>
  <c r="AL66" i="5"/>
  <c r="AH66" i="5" s="1"/>
  <c r="AL74" i="5"/>
  <c r="AH74" i="5" s="1"/>
  <c r="AL86" i="5"/>
  <c r="AH86" i="5" s="1"/>
  <c r="AL43" i="5"/>
  <c r="AL79" i="5"/>
  <c r="AH79" i="5" s="1"/>
  <c r="AF9" i="6"/>
  <c r="AF10" i="6" s="1"/>
  <c r="AE38" i="6"/>
  <c r="AE11" i="6" s="1"/>
  <c r="AE39" i="6"/>
  <c r="AE12" i="6" s="1"/>
  <c r="AE40" i="6"/>
  <c r="AE13" i="6" s="1"/>
  <c r="AE41" i="6"/>
  <c r="AE14" i="6" s="1"/>
  <c r="AE42" i="6"/>
  <c r="AE15" i="6" s="1"/>
  <c r="AE43" i="6"/>
  <c r="AE16" i="6" s="1"/>
  <c r="AE44" i="6"/>
  <c r="AE17" i="6" s="1"/>
  <c r="AE45" i="6"/>
  <c r="AE18" i="6" s="1"/>
  <c r="AE46" i="6"/>
  <c r="AE19" i="6" s="1"/>
  <c r="AE47" i="6"/>
  <c r="AE20" i="6" s="1"/>
  <c r="AE48" i="6"/>
  <c r="AE21" i="6" s="1"/>
  <c r="AE49" i="6"/>
  <c r="AE22" i="6" s="1"/>
  <c r="AE50" i="6"/>
  <c r="AE51" i="6"/>
  <c r="AE52" i="6"/>
  <c r="AE53" i="6"/>
  <c r="AE54" i="6"/>
  <c r="AE55" i="6"/>
  <c r="AE56" i="6"/>
  <c r="AC22" i="6"/>
  <c r="I22" i="6"/>
  <c r="R22" i="6"/>
  <c r="U22" i="6"/>
  <c r="Y22" i="6"/>
  <c r="N22" i="6"/>
  <c r="O22" i="6"/>
  <c r="Q22" i="6"/>
  <c r="V22" i="6"/>
  <c r="Z22" i="6"/>
  <c r="K22" i="6"/>
  <c r="L22" i="6"/>
  <c r="J22" i="6"/>
  <c r="S22" i="6"/>
  <c r="W22" i="6"/>
  <c r="AA22" i="6"/>
  <c r="M22" i="6"/>
  <c r="P22" i="6"/>
  <c r="H22" i="6"/>
  <c r="T22" i="6"/>
  <c r="X22" i="6"/>
  <c r="AB22" i="6"/>
  <c r="AD22" i="6"/>
  <c r="C37" i="5"/>
  <c r="AG23" i="5"/>
  <c r="AL15" i="5"/>
  <c r="AK23" i="5" s="1"/>
  <c r="AH16" i="5"/>
  <c r="C38" i="5"/>
  <c r="BC88" i="5" l="1"/>
  <c r="BD89" i="5"/>
  <c r="BC83" i="5"/>
  <c r="BD84" i="5"/>
  <c r="E38" i="5"/>
  <c r="BE151" i="2"/>
  <c r="BD150" i="2"/>
  <c r="AO23" i="5"/>
  <c r="AG9" i="6"/>
  <c r="AG10" i="6" s="1"/>
  <c r="AF38" i="6"/>
  <c r="AF11" i="6" s="1"/>
  <c r="AF39" i="6"/>
  <c r="AF12" i="6" s="1"/>
  <c r="AF40" i="6"/>
  <c r="AF13" i="6" s="1"/>
  <c r="AF41" i="6"/>
  <c r="AF14" i="6" s="1"/>
  <c r="AF42" i="6"/>
  <c r="AF15" i="6" s="1"/>
  <c r="AF43" i="6"/>
  <c r="AF16" i="6" s="1"/>
  <c r="AF44" i="6"/>
  <c r="AF17" i="6" s="1"/>
  <c r="AF45" i="6"/>
  <c r="AF18" i="6" s="1"/>
  <c r="AF46" i="6"/>
  <c r="AF19" i="6" s="1"/>
  <c r="AF47" i="6"/>
  <c r="AF20" i="6" s="1"/>
  <c r="AF48" i="6"/>
  <c r="AF21" i="6" s="1"/>
  <c r="AF49" i="6"/>
  <c r="AF22" i="6" s="1"/>
  <c r="AF50" i="6"/>
  <c r="AF23" i="6" s="1"/>
  <c r="AF51" i="6"/>
  <c r="AF52" i="6"/>
  <c r="AF53" i="6"/>
  <c r="AF54" i="6"/>
  <c r="AF55" i="6"/>
  <c r="AF56" i="6"/>
  <c r="AD23" i="6"/>
  <c r="M23" i="6"/>
  <c r="J23" i="6"/>
  <c r="Q23" i="6"/>
  <c r="T23" i="6"/>
  <c r="X23" i="6"/>
  <c r="AB23" i="6"/>
  <c r="H23" i="6"/>
  <c r="I23" i="6"/>
  <c r="N23" i="6"/>
  <c r="U23" i="6"/>
  <c r="Y23" i="6"/>
  <c r="AC23" i="6"/>
  <c r="AE23" i="6"/>
  <c r="P23" i="6"/>
  <c r="L23" i="6"/>
  <c r="R23" i="6"/>
  <c r="V23" i="6"/>
  <c r="Z23" i="6"/>
  <c r="K23" i="6"/>
  <c r="O23" i="6"/>
  <c r="S23" i="6"/>
  <c r="W23" i="6"/>
  <c r="AA23" i="6"/>
  <c r="D38" i="5"/>
  <c r="AC25" i="5"/>
  <c r="AL16" i="5"/>
  <c r="AK24" i="5" s="1"/>
  <c r="AO24" i="5" s="1"/>
  <c r="AG24" i="5"/>
  <c r="BC84" i="5" l="1"/>
  <c r="BD85" i="5"/>
  <c r="BC85" i="5" s="1"/>
  <c r="BC89" i="5"/>
  <c r="BD90" i="5"/>
  <c r="BC90" i="5" s="1"/>
  <c r="BE152" i="2"/>
  <c r="BD151" i="2"/>
  <c r="C39" i="5"/>
  <c r="E39" i="5" s="1"/>
  <c r="AH9" i="6"/>
  <c r="AH10" i="6" s="1"/>
  <c r="AG38" i="6"/>
  <c r="AG11" i="6" s="1"/>
  <c r="AG39" i="6"/>
  <c r="AG12" i="6" s="1"/>
  <c r="AG40" i="6"/>
  <c r="AG13" i="6" s="1"/>
  <c r="AG41" i="6"/>
  <c r="AG14" i="6" s="1"/>
  <c r="AG42" i="6"/>
  <c r="AG15" i="6" s="1"/>
  <c r="AG43" i="6"/>
  <c r="AG16" i="6" s="1"/>
  <c r="AG44" i="6"/>
  <c r="AG17" i="6" s="1"/>
  <c r="AG45" i="6"/>
  <c r="AG18" i="6" s="1"/>
  <c r="AG46" i="6"/>
  <c r="AG19" i="6" s="1"/>
  <c r="AG47" i="6"/>
  <c r="AG20" i="6" s="1"/>
  <c r="AG48" i="6"/>
  <c r="AG21" i="6" s="1"/>
  <c r="AG49" i="6"/>
  <c r="AG22" i="6" s="1"/>
  <c r="AG50" i="6"/>
  <c r="AG23" i="6" s="1"/>
  <c r="AG51" i="6"/>
  <c r="AG24" i="6" s="1"/>
  <c r="AG52" i="6"/>
  <c r="AG53" i="6"/>
  <c r="AG54" i="6"/>
  <c r="AG55" i="6"/>
  <c r="AG56" i="6"/>
  <c r="AE24" i="6"/>
  <c r="H24" i="6"/>
  <c r="P24" i="6"/>
  <c r="S24" i="6"/>
  <c r="W24" i="6"/>
  <c r="AA24" i="6"/>
  <c r="I24" i="6"/>
  <c r="L24" i="6"/>
  <c r="K24" i="6"/>
  <c r="N24" i="6"/>
  <c r="T24" i="6"/>
  <c r="X24" i="6"/>
  <c r="AB24" i="6"/>
  <c r="O24" i="6"/>
  <c r="M24" i="6"/>
  <c r="J24" i="6"/>
  <c r="Q24" i="6"/>
  <c r="U24" i="6"/>
  <c r="Y24" i="6"/>
  <c r="AC24" i="6"/>
  <c r="AF24" i="6"/>
  <c r="R24" i="6"/>
  <c r="V24" i="6"/>
  <c r="Z24" i="6"/>
  <c r="AD24" i="6"/>
  <c r="AK25" i="5"/>
  <c r="AG25" i="5"/>
  <c r="AG26" i="5" s="1"/>
  <c r="AG27" i="5" s="1"/>
  <c r="AG28" i="5" s="1"/>
  <c r="AG29" i="5" s="1"/>
  <c r="AG30" i="5" s="1"/>
  <c r="AG31" i="5" s="1"/>
  <c r="AG32" i="5" s="1"/>
  <c r="AG33" i="5" s="1"/>
  <c r="AG34" i="5" s="1"/>
  <c r="AG35" i="5" s="1"/>
  <c r="AG36" i="5" s="1"/>
  <c r="AG37" i="5" s="1"/>
  <c r="AG38" i="5" s="1"/>
  <c r="AG39" i="5" s="1"/>
  <c r="AG40" i="5" s="1"/>
  <c r="AG41" i="5" s="1"/>
  <c r="AG42" i="5" s="1"/>
  <c r="AG43" i="5" s="1"/>
  <c r="AG44" i="5" s="1"/>
  <c r="AG45" i="5" s="1"/>
  <c r="AC26" i="5"/>
  <c r="BE153" i="2" l="1"/>
  <c r="BD152" i="2"/>
  <c r="D39" i="5"/>
  <c r="AI9" i="6"/>
  <c r="AI10" i="6" s="1"/>
  <c r="AH38" i="6"/>
  <c r="AH11" i="6" s="1"/>
  <c r="AH39" i="6"/>
  <c r="AH12" i="6" s="1"/>
  <c r="AH40" i="6"/>
  <c r="AH13" i="6" s="1"/>
  <c r="AH41" i="6"/>
  <c r="AH14" i="6" s="1"/>
  <c r="AH42" i="6"/>
  <c r="AH15" i="6" s="1"/>
  <c r="AH43" i="6"/>
  <c r="AH16" i="6" s="1"/>
  <c r="AH44" i="6"/>
  <c r="AH17" i="6" s="1"/>
  <c r="AH45" i="6"/>
  <c r="AH18" i="6" s="1"/>
  <c r="AH46" i="6"/>
  <c r="AH19" i="6" s="1"/>
  <c r="AH47" i="6"/>
  <c r="AH20" i="6" s="1"/>
  <c r="AH48" i="6"/>
  <c r="AH21" i="6" s="1"/>
  <c r="AH49" i="6"/>
  <c r="AH22" i="6" s="1"/>
  <c r="AH50" i="6"/>
  <c r="AH23" i="6" s="1"/>
  <c r="AH51" i="6"/>
  <c r="AH24" i="6" s="1"/>
  <c r="AH52" i="6"/>
  <c r="AH25" i="6" s="1"/>
  <c r="AH53" i="6"/>
  <c r="AH54" i="6"/>
  <c r="AH55" i="6"/>
  <c r="AH56" i="6"/>
  <c r="AF25" i="6"/>
  <c r="N25" i="6"/>
  <c r="H25" i="6"/>
  <c r="R25" i="6"/>
  <c r="V25" i="6"/>
  <c r="Z25" i="6"/>
  <c r="AD25" i="6"/>
  <c r="AG25" i="6"/>
  <c r="L25" i="6"/>
  <c r="J25" i="6"/>
  <c r="S25" i="6"/>
  <c r="W25" i="6"/>
  <c r="AA25" i="6"/>
  <c r="AE25" i="6"/>
  <c r="O25" i="6"/>
  <c r="P25" i="6"/>
  <c r="T25" i="6"/>
  <c r="X25" i="6"/>
  <c r="AB25" i="6"/>
  <c r="I25" i="6"/>
  <c r="K25" i="6"/>
  <c r="M25" i="6"/>
  <c r="Q25" i="6"/>
  <c r="U25" i="6"/>
  <c r="Y25" i="6"/>
  <c r="AC25" i="6"/>
  <c r="AK26" i="5"/>
  <c r="AO25" i="5"/>
  <c r="C40" i="5"/>
  <c r="E40" i="5" s="1"/>
  <c r="AC27" i="5"/>
  <c r="AG46" i="5"/>
  <c r="C41" i="5" l="1"/>
  <c r="BE154" i="2"/>
  <c r="BD153" i="2"/>
  <c r="AJ9" i="6"/>
  <c r="AJ10" i="6" s="1"/>
  <c r="AI38" i="6"/>
  <c r="AI11" i="6" s="1"/>
  <c r="AI39" i="6"/>
  <c r="AI12" i="6" s="1"/>
  <c r="AI40" i="6"/>
  <c r="AI13" i="6" s="1"/>
  <c r="AI41" i="6"/>
  <c r="AI14" i="6" s="1"/>
  <c r="AI42" i="6"/>
  <c r="AI15" i="6" s="1"/>
  <c r="AI43" i="6"/>
  <c r="AI16" i="6" s="1"/>
  <c r="AI44" i="6"/>
  <c r="AI17" i="6" s="1"/>
  <c r="AI45" i="6"/>
  <c r="AI18" i="6" s="1"/>
  <c r="AI46" i="6"/>
  <c r="AI19" i="6" s="1"/>
  <c r="AI47" i="6"/>
  <c r="AI20" i="6" s="1"/>
  <c r="AI48" i="6"/>
  <c r="AI21" i="6" s="1"/>
  <c r="AI49" i="6"/>
  <c r="AI22" i="6" s="1"/>
  <c r="AI50" i="6"/>
  <c r="AI23" i="6" s="1"/>
  <c r="AI51" i="6"/>
  <c r="AI24" i="6" s="1"/>
  <c r="AI52" i="6"/>
  <c r="AI25" i="6" s="1"/>
  <c r="AI53" i="6"/>
  <c r="AI26" i="6" s="1"/>
  <c r="AI54" i="6"/>
  <c r="AI55" i="6"/>
  <c r="AI56" i="6"/>
  <c r="AG26" i="6"/>
  <c r="K26" i="6"/>
  <c r="L26" i="6"/>
  <c r="Q26" i="6"/>
  <c r="U26" i="6"/>
  <c r="Y26" i="6"/>
  <c r="AC26" i="6"/>
  <c r="R26" i="6"/>
  <c r="V26" i="6"/>
  <c r="Z26" i="6"/>
  <c r="AD26" i="6"/>
  <c r="M26" i="6"/>
  <c r="I26" i="6"/>
  <c r="J26" i="6"/>
  <c r="O26" i="6"/>
  <c r="S26" i="6"/>
  <c r="W26" i="6"/>
  <c r="AA26" i="6"/>
  <c r="AE26" i="6"/>
  <c r="AH26" i="6"/>
  <c r="N26" i="6"/>
  <c r="H26" i="6"/>
  <c r="P26" i="6"/>
  <c r="T26" i="6"/>
  <c r="X26" i="6"/>
  <c r="AB26" i="6"/>
  <c r="AF26" i="6"/>
  <c r="AK27" i="5"/>
  <c r="AO26" i="5"/>
  <c r="D40" i="5"/>
  <c r="AC28" i="5"/>
  <c r="AG47" i="5"/>
  <c r="D41" i="5" l="1"/>
  <c r="E41" i="5"/>
  <c r="BE155" i="2"/>
  <c r="BD154" i="2"/>
  <c r="AK9" i="6"/>
  <c r="AK10" i="6" s="1"/>
  <c r="AJ38" i="6"/>
  <c r="AJ11" i="6" s="1"/>
  <c r="AJ39" i="6"/>
  <c r="AJ12" i="6" s="1"/>
  <c r="AJ40" i="6"/>
  <c r="AJ13" i="6" s="1"/>
  <c r="AJ41" i="6"/>
  <c r="AJ14" i="6" s="1"/>
  <c r="AJ42" i="6"/>
  <c r="AJ15" i="6" s="1"/>
  <c r="AJ43" i="6"/>
  <c r="AJ16" i="6" s="1"/>
  <c r="AJ44" i="6"/>
  <c r="AJ17" i="6" s="1"/>
  <c r="AJ45" i="6"/>
  <c r="AJ18" i="6" s="1"/>
  <c r="AJ46" i="6"/>
  <c r="AJ19" i="6" s="1"/>
  <c r="AJ47" i="6"/>
  <c r="AJ20" i="6" s="1"/>
  <c r="AJ48" i="6"/>
  <c r="AJ21" i="6" s="1"/>
  <c r="AJ49" i="6"/>
  <c r="AJ22" i="6" s="1"/>
  <c r="AJ50" i="6"/>
  <c r="AJ23" i="6" s="1"/>
  <c r="AJ51" i="6"/>
  <c r="AJ24" i="6" s="1"/>
  <c r="AJ52" i="6"/>
  <c r="AJ25" i="6" s="1"/>
  <c r="AJ53" i="6"/>
  <c r="AJ26" i="6" s="1"/>
  <c r="AJ54" i="6"/>
  <c r="AJ27" i="6" s="1"/>
  <c r="AJ55" i="6"/>
  <c r="AJ56" i="6"/>
  <c r="AH27" i="6"/>
  <c r="J27" i="6"/>
  <c r="K27" i="6"/>
  <c r="P27" i="6"/>
  <c r="T27" i="6"/>
  <c r="X27" i="6"/>
  <c r="AB27" i="6"/>
  <c r="AF27" i="6"/>
  <c r="M27" i="6"/>
  <c r="H27" i="6"/>
  <c r="L27" i="6"/>
  <c r="N27" i="6"/>
  <c r="Q27" i="6"/>
  <c r="U27" i="6"/>
  <c r="Y27" i="6"/>
  <c r="AC27" i="6"/>
  <c r="AG27" i="6"/>
  <c r="AI27" i="6"/>
  <c r="O27" i="6"/>
  <c r="R27" i="6"/>
  <c r="V27" i="6"/>
  <c r="Z27" i="6"/>
  <c r="AD27" i="6"/>
  <c r="I27" i="6"/>
  <c r="S27" i="6"/>
  <c r="W27" i="6"/>
  <c r="AA27" i="6"/>
  <c r="AE27" i="6"/>
  <c r="AK28" i="5"/>
  <c r="AO27" i="5"/>
  <c r="C42" i="5"/>
  <c r="E42" i="5" s="1"/>
  <c r="AG48" i="5"/>
  <c r="AC29" i="5"/>
  <c r="C43" i="5" l="1"/>
  <c r="E43" i="5" s="1"/>
  <c r="BD155" i="2"/>
  <c r="BE156" i="2"/>
  <c r="AL9" i="6"/>
  <c r="AL10" i="6" s="1"/>
  <c r="AK38" i="6"/>
  <c r="AK11" i="6" s="1"/>
  <c r="AK39" i="6"/>
  <c r="AK12" i="6" s="1"/>
  <c r="AK40" i="6"/>
  <c r="AK13" i="6" s="1"/>
  <c r="AK41" i="6"/>
  <c r="AK14" i="6" s="1"/>
  <c r="AK42" i="6"/>
  <c r="AK15" i="6" s="1"/>
  <c r="AK43" i="6"/>
  <c r="AK16" i="6" s="1"/>
  <c r="AK44" i="6"/>
  <c r="AK17" i="6" s="1"/>
  <c r="AK45" i="6"/>
  <c r="AK18" i="6" s="1"/>
  <c r="AK46" i="6"/>
  <c r="AK19" i="6" s="1"/>
  <c r="AK47" i="6"/>
  <c r="AK20" i="6" s="1"/>
  <c r="AK48" i="6"/>
  <c r="AK21" i="6" s="1"/>
  <c r="AK49" i="6"/>
  <c r="AK22" i="6" s="1"/>
  <c r="AK50" i="6"/>
  <c r="AK23" i="6" s="1"/>
  <c r="AK51" i="6"/>
  <c r="AK24" i="6" s="1"/>
  <c r="AK52" i="6"/>
  <c r="AK25" i="6" s="1"/>
  <c r="AK53" i="6"/>
  <c r="AK26" i="6" s="1"/>
  <c r="AK54" i="6"/>
  <c r="AK27" i="6" s="1"/>
  <c r="AK55" i="6"/>
  <c r="AK28" i="6" s="1"/>
  <c r="AK56" i="6"/>
  <c r="AI28" i="6"/>
  <c r="O28" i="6"/>
  <c r="S28" i="6"/>
  <c r="W28" i="6"/>
  <c r="AA28" i="6"/>
  <c r="AE28" i="6"/>
  <c r="AJ28" i="6"/>
  <c r="L28" i="6"/>
  <c r="J28" i="6"/>
  <c r="P28" i="6"/>
  <c r="T28" i="6"/>
  <c r="X28" i="6"/>
  <c r="AB28" i="6"/>
  <c r="AF28" i="6"/>
  <c r="K28" i="6"/>
  <c r="H28" i="6"/>
  <c r="N28" i="6"/>
  <c r="Q28" i="6"/>
  <c r="U28" i="6"/>
  <c r="Y28" i="6"/>
  <c r="AC28" i="6"/>
  <c r="AG28" i="6"/>
  <c r="I28" i="6"/>
  <c r="M28" i="6"/>
  <c r="R28" i="6"/>
  <c r="V28" i="6"/>
  <c r="Z28" i="6"/>
  <c r="AD28" i="6"/>
  <c r="AH28" i="6"/>
  <c r="AK29" i="5"/>
  <c r="AO28" i="5"/>
  <c r="D42" i="5"/>
  <c r="AC30" i="5"/>
  <c r="AG49" i="5"/>
  <c r="BD156" i="2" l="1"/>
  <c r="BE157" i="2"/>
  <c r="BD157" i="2" s="1"/>
  <c r="D43" i="5"/>
  <c r="C44" i="5"/>
  <c r="E44" i="5" s="1"/>
  <c r="AM9" i="6"/>
  <c r="AM10" i="6" s="1"/>
  <c r="AL38" i="6"/>
  <c r="AL11" i="6" s="1"/>
  <c r="AL39" i="6"/>
  <c r="AL12" i="6" s="1"/>
  <c r="AL40" i="6"/>
  <c r="AL13" i="6" s="1"/>
  <c r="AL41" i="6"/>
  <c r="AL14" i="6" s="1"/>
  <c r="AL42" i="6"/>
  <c r="AL15" i="6" s="1"/>
  <c r="AL43" i="6"/>
  <c r="AL16" i="6" s="1"/>
  <c r="AL44" i="6"/>
  <c r="AL17" i="6" s="1"/>
  <c r="AL45" i="6"/>
  <c r="AL18" i="6" s="1"/>
  <c r="AL46" i="6"/>
  <c r="AL19" i="6" s="1"/>
  <c r="AL47" i="6"/>
  <c r="AL20" i="6" s="1"/>
  <c r="AL48" i="6"/>
  <c r="AL21" i="6" s="1"/>
  <c r="AL49" i="6"/>
  <c r="AL22" i="6" s="1"/>
  <c r="AL50" i="6"/>
  <c r="AL23" i="6" s="1"/>
  <c r="AL51" i="6"/>
  <c r="AL24" i="6" s="1"/>
  <c r="AL52" i="6"/>
  <c r="AL25" i="6" s="1"/>
  <c r="AL53" i="6"/>
  <c r="AL26" i="6" s="1"/>
  <c r="AL54" i="6"/>
  <c r="AL27" i="6" s="1"/>
  <c r="AL55" i="6"/>
  <c r="AL28" i="6" s="1"/>
  <c r="AL56" i="6"/>
  <c r="AL29" i="6" s="1"/>
  <c r="AJ29" i="6"/>
  <c r="K29" i="6"/>
  <c r="M29" i="6"/>
  <c r="S29" i="6"/>
  <c r="W29" i="6"/>
  <c r="AA29" i="6"/>
  <c r="AE29" i="6"/>
  <c r="AI29" i="6"/>
  <c r="I29" i="6"/>
  <c r="L29" i="6"/>
  <c r="P29" i="6"/>
  <c r="T29" i="6"/>
  <c r="X29" i="6"/>
  <c r="AB29" i="6"/>
  <c r="AF29" i="6"/>
  <c r="N29" i="6"/>
  <c r="Q29" i="6"/>
  <c r="U29" i="6"/>
  <c r="Y29" i="6"/>
  <c r="AC29" i="6"/>
  <c r="AG29" i="6"/>
  <c r="J29" i="6"/>
  <c r="H29" i="6"/>
  <c r="O29" i="6"/>
  <c r="R29" i="6"/>
  <c r="V29" i="6"/>
  <c r="Z29" i="6"/>
  <c r="AD29" i="6"/>
  <c r="AH29" i="6"/>
  <c r="AK29" i="6"/>
  <c r="AK30" i="5"/>
  <c r="AO29" i="5"/>
  <c r="AG50" i="5"/>
  <c r="AC31" i="5"/>
  <c r="C45" i="5" s="1"/>
  <c r="E45" i="5" s="1"/>
  <c r="D44" i="5" l="1"/>
  <c r="AN9" i="6"/>
  <c r="AN10" i="6" s="1"/>
  <c r="AM38" i="6"/>
  <c r="AM11" i="6" s="1"/>
  <c r="AM39" i="6"/>
  <c r="AM12" i="6" s="1"/>
  <c r="AM40" i="6"/>
  <c r="AM13" i="6" s="1"/>
  <c r="AM41" i="6"/>
  <c r="AM14" i="6" s="1"/>
  <c r="AM42" i="6"/>
  <c r="AM15" i="6" s="1"/>
  <c r="AM43" i="6"/>
  <c r="AM16" i="6" s="1"/>
  <c r="AM44" i="6"/>
  <c r="AM17" i="6" s="1"/>
  <c r="AM45" i="6"/>
  <c r="AM18" i="6" s="1"/>
  <c r="AM46" i="6"/>
  <c r="AM19" i="6" s="1"/>
  <c r="AM47" i="6"/>
  <c r="AM20" i="6" s="1"/>
  <c r="AM48" i="6"/>
  <c r="AM21" i="6" s="1"/>
  <c r="AM49" i="6"/>
  <c r="AM22" i="6" s="1"/>
  <c r="AM50" i="6"/>
  <c r="AM23" i="6" s="1"/>
  <c r="AM51" i="6"/>
  <c r="AM24" i="6" s="1"/>
  <c r="AM52" i="6"/>
  <c r="AM25" i="6" s="1"/>
  <c r="AM53" i="6"/>
  <c r="AM26" i="6" s="1"/>
  <c r="AM54" i="6"/>
  <c r="AM27" i="6" s="1"/>
  <c r="AM55" i="6"/>
  <c r="AM28" i="6" s="1"/>
  <c r="AM56" i="6"/>
  <c r="AM29" i="6" s="1"/>
  <c r="AK31" i="5"/>
  <c r="AO30" i="5"/>
  <c r="D45" i="5"/>
  <c r="AC32" i="5"/>
  <c r="C46" i="5" s="1"/>
  <c r="E46" i="5" s="1"/>
  <c r="AG51" i="5"/>
  <c r="AO9" i="6" l="1"/>
  <c r="AO10" i="6" s="1"/>
  <c r="AN38" i="6"/>
  <c r="AN11" i="6" s="1"/>
  <c r="AN39" i="6"/>
  <c r="AN12" i="6" s="1"/>
  <c r="AN40" i="6"/>
  <c r="AN13" i="6" s="1"/>
  <c r="AN41" i="6"/>
  <c r="AN14" i="6" s="1"/>
  <c r="AN42" i="6"/>
  <c r="AN15" i="6" s="1"/>
  <c r="AN43" i="6"/>
  <c r="AN16" i="6" s="1"/>
  <c r="AN44" i="6"/>
  <c r="AN17" i="6" s="1"/>
  <c r="AN45" i="6"/>
  <c r="AN18" i="6" s="1"/>
  <c r="AN46" i="6"/>
  <c r="AN19" i="6" s="1"/>
  <c r="AN47" i="6"/>
  <c r="AN20" i="6" s="1"/>
  <c r="AN48" i="6"/>
  <c r="AN21" i="6" s="1"/>
  <c r="AN49" i="6"/>
  <c r="AN22" i="6" s="1"/>
  <c r="AN50" i="6"/>
  <c r="AN23" i="6" s="1"/>
  <c r="AN51" i="6"/>
  <c r="AN24" i="6" s="1"/>
  <c r="AN52" i="6"/>
  <c r="AN25" i="6" s="1"/>
  <c r="AN53" i="6"/>
  <c r="AN26" i="6" s="1"/>
  <c r="AN54" i="6"/>
  <c r="AN27" i="6" s="1"/>
  <c r="AN55" i="6"/>
  <c r="AN28" i="6" s="1"/>
  <c r="AN56" i="6"/>
  <c r="AN29" i="6" s="1"/>
  <c r="AK32" i="5"/>
  <c r="AO31" i="5"/>
  <c r="D46" i="5"/>
  <c r="AG52" i="5"/>
  <c r="AC33" i="5"/>
  <c r="C47" i="5" s="1"/>
  <c r="E47" i="5" s="1"/>
  <c r="AP9" i="6" l="1"/>
  <c r="AP10" i="6" s="1"/>
  <c r="AO38" i="6"/>
  <c r="AO11" i="6" s="1"/>
  <c r="AO39" i="6"/>
  <c r="AO12" i="6" s="1"/>
  <c r="AO40" i="6"/>
  <c r="AO13" i="6" s="1"/>
  <c r="AO41" i="6"/>
  <c r="AO14" i="6" s="1"/>
  <c r="AO42" i="6"/>
  <c r="AO15" i="6" s="1"/>
  <c r="AO43" i="6"/>
  <c r="AO16" i="6" s="1"/>
  <c r="AO44" i="6"/>
  <c r="AO17" i="6" s="1"/>
  <c r="AO45" i="6"/>
  <c r="AO18" i="6" s="1"/>
  <c r="AO46" i="6"/>
  <c r="AO19" i="6" s="1"/>
  <c r="AO47" i="6"/>
  <c r="AO20" i="6" s="1"/>
  <c r="AO48" i="6"/>
  <c r="AO21" i="6" s="1"/>
  <c r="AO49" i="6"/>
  <c r="AO22" i="6" s="1"/>
  <c r="AO50" i="6"/>
  <c r="AO23" i="6" s="1"/>
  <c r="AO51" i="6"/>
  <c r="AO24" i="6" s="1"/>
  <c r="AO52" i="6"/>
  <c r="AO25" i="6" s="1"/>
  <c r="AO53" i="6"/>
  <c r="AO26" i="6" s="1"/>
  <c r="AO54" i="6"/>
  <c r="AO27" i="6" s="1"/>
  <c r="AO55" i="6"/>
  <c r="AO28" i="6" s="1"/>
  <c r="AO56" i="6"/>
  <c r="AO29" i="6" s="1"/>
  <c r="AK33" i="5"/>
  <c r="AO32" i="5"/>
  <c r="D47" i="5"/>
  <c r="AC34" i="5"/>
  <c r="C48" i="5" s="1"/>
  <c r="E48" i="5" s="1"/>
  <c r="AG53" i="5"/>
  <c r="AQ9" i="6" l="1"/>
  <c r="AQ10" i="6" s="1"/>
  <c r="AP38" i="6"/>
  <c r="AP11" i="6" s="1"/>
  <c r="AP39" i="6"/>
  <c r="AP12" i="6" s="1"/>
  <c r="AP40" i="6"/>
  <c r="AP13" i="6" s="1"/>
  <c r="AP41" i="6"/>
  <c r="AP14" i="6" s="1"/>
  <c r="AP42" i="6"/>
  <c r="AP15" i="6" s="1"/>
  <c r="AP43" i="6"/>
  <c r="AP16" i="6" s="1"/>
  <c r="AP44" i="6"/>
  <c r="AP17" i="6" s="1"/>
  <c r="AP45" i="6"/>
  <c r="AP18" i="6" s="1"/>
  <c r="AP46" i="6"/>
  <c r="AP19" i="6" s="1"/>
  <c r="AP47" i="6"/>
  <c r="AP20" i="6" s="1"/>
  <c r="AP48" i="6"/>
  <c r="AP21" i="6" s="1"/>
  <c r="AP49" i="6"/>
  <c r="AP22" i="6" s="1"/>
  <c r="AP50" i="6"/>
  <c r="AP23" i="6" s="1"/>
  <c r="AP51" i="6"/>
  <c r="AP24" i="6" s="1"/>
  <c r="AP52" i="6"/>
  <c r="AP25" i="6" s="1"/>
  <c r="AP53" i="6"/>
  <c r="AP26" i="6" s="1"/>
  <c r="AP54" i="6"/>
  <c r="AP27" i="6" s="1"/>
  <c r="AP55" i="6"/>
  <c r="AP28" i="6" s="1"/>
  <c r="AP56" i="6"/>
  <c r="AP29" i="6" s="1"/>
  <c r="AK34" i="5"/>
  <c r="AO33" i="5"/>
  <c r="D48" i="5"/>
  <c r="AG54" i="5"/>
  <c r="AC35" i="5"/>
  <c r="AR9" i="6" l="1"/>
  <c r="AR10" i="6" s="1"/>
  <c r="AQ38" i="6"/>
  <c r="AQ11" i="6" s="1"/>
  <c r="AQ39" i="6"/>
  <c r="AQ12" i="6" s="1"/>
  <c r="AQ40" i="6"/>
  <c r="AQ13" i="6" s="1"/>
  <c r="AQ41" i="6"/>
  <c r="AQ14" i="6" s="1"/>
  <c r="AQ42" i="6"/>
  <c r="AQ15" i="6" s="1"/>
  <c r="AQ43" i="6"/>
  <c r="AQ16" i="6" s="1"/>
  <c r="AQ44" i="6"/>
  <c r="AQ17" i="6" s="1"/>
  <c r="AQ45" i="6"/>
  <c r="AQ18" i="6" s="1"/>
  <c r="AQ46" i="6"/>
  <c r="AQ19" i="6" s="1"/>
  <c r="AQ47" i="6"/>
  <c r="AQ20" i="6" s="1"/>
  <c r="AQ48" i="6"/>
  <c r="AQ21" i="6" s="1"/>
  <c r="AQ49" i="6"/>
  <c r="AQ22" i="6" s="1"/>
  <c r="AQ50" i="6"/>
  <c r="AQ23" i="6" s="1"/>
  <c r="AQ51" i="6"/>
  <c r="AQ24" i="6" s="1"/>
  <c r="AQ52" i="6"/>
  <c r="AQ25" i="6" s="1"/>
  <c r="AQ53" i="6"/>
  <c r="AQ26" i="6" s="1"/>
  <c r="AQ54" i="6"/>
  <c r="AQ27" i="6" s="1"/>
  <c r="AQ55" i="6"/>
  <c r="AQ28" i="6" s="1"/>
  <c r="AQ56" i="6"/>
  <c r="AQ29" i="6" s="1"/>
  <c r="AK35" i="5"/>
  <c r="AO34" i="5"/>
  <c r="C49" i="5"/>
  <c r="E49" i="5" s="1"/>
  <c r="AC36" i="5"/>
  <c r="C50" i="5" s="1"/>
  <c r="E50" i="5" s="1"/>
  <c r="AG55" i="5"/>
  <c r="AS9" i="6" l="1"/>
  <c r="AS10" i="6" s="1"/>
  <c r="AR38" i="6"/>
  <c r="AR11" i="6" s="1"/>
  <c r="AR39" i="6"/>
  <c r="AR12" i="6" s="1"/>
  <c r="AR40" i="6"/>
  <c r="AR13" i="6" s="1"/>
  <c r="AR41" i="6"/>
  <c r="AR14" i="6" s="1"/>
  <c r="AR42" i="6"/>
  <c r="AR15" i="6" s="1"/>
  <c r="AR43" i="6"/>
  <c r="AR16" i="6" s="1"/>
  <c r="AR44" i="6"/>
  <c r="AR17" i="6" s="1"/>
  <c r="AR45" i="6"/>
  <c r="AR18" i="6" s="1"/>
  <c r="AR46" i="6"/>
  <c r="AR19" i="6" s="1"/>
  <c r="AR47" i="6"/>
  <c r="AR20" i="6" s="1"/>
  <c r="AR48" i="6"/>
  <c r="AR21" i="6" s="1"/>
  <c r="AR49" i="6"/>
  <c r="AR22" i="6" s="1"/>
  <c r="AR50" i="6"/>
  <c r="AR23" i="6" s="1"/>
  <c r="AR51" i="6"/>
  <c r="AR24" i="6" s="1"/>
  <c r="AR52" i="6"/>
  <c r="AR25" i="6" s="1"/>
  <c r="AR53" i="6"/>
  <c r="AR26" i="6" s="1"/>
  <c r="AR54" i="6"/>
  <c r="AR27" i="6" s="1"/>
  <c r="AR55" i="6"/>
  <c r="AR28" i="6" s="1"/>
  <c r="AR56" i="6"/>
  <c r="AR29" i="6" s="1"/>
  <c r="AK36" i="5"/>
  <c r="AO35" i="5"/>
  <c r="D50" i="5"/>
  <c r="D49" i="5"/>
  <c r="AG56" i="5"/>
  <c r="AC37" i="5"/>
  <c r="AT9" i="6" l="1"/>
  <c r="AT10" i="6" s="1"/>
  <c r="AS38" i="6"/>
  <c r="AS11" i="6" s="1"/>
  <c r="AS39" i="6"/>
  <c r="AS12" i="6" s="1"/>
  <c r="AS40" i="6"/>
  <c r="AS13" i="6" s="1"/>
  <c r="AS41" i="6"/>
  <c r="AS14" i="6" s="1"/>
  <c r="AS42" i="6"/>
  <c r="AS15" i="6" s="1"/>
  <c r="AS43" i="6"/>
  <c r="AS16" i="6" s="1"/>
  <c r="AS44" i="6"/>
  <c r="AS17" i="6" s="1"/>
  <c r="AS45" i="6"/>
  <c r="AS18" i="6" s="1"/>
  <c r="AS46" i="6"/>
  <c r="AS19" i="6" s="1"/>
  <c r="AS47" i="6"/>
  <c r="AS20" i="6" s="1"/>
  <c r="AS48" i="6"/>
  <c r="AS21" i="6" s="1"/>
  <c r="AS49" i="6"/>
  <c r="AS22" i="6" s="1"/>
  <c r="AS50" i="6"/>
  <c r="AS23" i="6" s="1"/>
  <c r="AS51" i="6"/>
  <c r="AS24" i="6" s="1"/>
  <c r="AS52" i="6"/>
  <c r="AS25" i="6" s="1"/>
  <c r="AS53" i="6"/>
  <c r="AS26" i="6" s="1"/>
  <c r="AS54" i="6"/>
  <c r="AS27" i="6" s="1"/>
  <c r="AS55" i="6"/>
  <c r="AS28" i="6" s="1"/>
  <c r="AS56" i="6"/>
  <c r="AS29" i="6" s="1"/>
  <c r="AK37" i="5"/>
  <c r="AO36" i="5"/>
  <c r="C51" i="5"/>
  <c r="E51" i="5" s="1"/>
  <c r="AC38" i="5"/>
  <c r="C52" i="5" s="1"/>
  <c r="E52" i="5" s="1"/>
  <c r="AG57" i="5"/>
  <c r="AU9" i="6" l="1"/>
  <c r="AT38" i="6"/>
  <c r="AT11" i="6" s="1"/>
  <c r="AT39" i="6"/>
  <c r="AT12" i="6" s="1"/>
  <c r="AT40" i="6"/>
  <c r="AT13" i="6" s="1"/>
  <c r="AT41" i="6"/>
  <c r="AT14" i="6" s="1"/>
  <c r="AT42" i="6"/>
  <c r="AT15" i="6" s="1"/>
  <c r="AT43" i="6"/>
  <c r="AT16" i="6" s="1"/>
  <c r="AT44" i="6"/>
  <c r="AT17" i="6" s="1"/>
  <c r="AT45" i="6"/>
  <c r="AT18" i="6" s="1"/>
  <c r="AT46" i="6"/>
  <c r="AT19" i="6" s="1"/>
  <c r="AT47" i="6"/>
  <c r="AT20" i="6" s="1"/>
  <c r="AT48" i="6"/>
  <c r="AT21" i="6" s="1"/>
  <c r="AT49" i="6"/>
  <c r="AT22" i="6" s="1"/>
  <c r="AT50" i="6"/>
  <c r="AT23" i="6" s="1"/>
  <c r="AT51" i="6"/>
  <c r="AT24" i="6" s="1"/>
  <c r="AT52" i="6"/>
  <c r="AT25" i="6" s="1"/>
  <c r="AT53" i="6"/>
  <c r="AT26" i="6" s="1"/>
  <c r="AT54" i="6"/>
  <c r="AT27" i="6" s="1"/>
  <c r="AT55" i="6"/>
  <c r="AT28" i="6" s="1"/>
  <c r="AT56" i="6"/>
  <c r="AT29" i="6" s="1"/>
  <c r="AK38" i="5"/>
  <c r="AO37" i="5"/>
  <c r="D51" i="5"/>
  <c r="D52" i="5"/>
  <c r="AU10" i="6"/>
  <c r="AG58" i="5"/>
  <c r="AC39" i="5"/>
  <c r="AV9" i="6" l="1"/>
  <c r="AU38" i="6"/>
  <c r="AU11" i="6" s="1"/>
  <c r="AU39" i="6"/>
  <c r="AU12" i="6" s="1"/>
  <c r="AU40" i="6"/>
  <c r="AU13" i="6" s="1"/>
  <c r="AU41" i="6"/>
  <c r="AU14" i="6" s="1"/>
  <c r="AU42" i="6"/>
  <c r="AU15" i="6" s="1"/>
  <c r="AU43" i="6"/>
  <c r="AU16" i="6" s="1"/>
  <c r="AU44" i="6"/>
  <c r="AU17" i="6" s="1"/>
  <c r="AU45" i="6"/>
  <c r="AU18" i="6" s="1"/>
  <c r="AU46" i="6"/>
  <c r="AU19" i="6" s="1"/>
  <c r="AU47" i="6"/>
  <c r="AU20" i="6" s="1"/>
  <c r="AU48" i="6"/>
  <c r="AU21" i="6" s="1"/>
  <c r="AU49" i="6"/>
  <c r="AU22" i="6" s="1"/>
  <c r="AU50" i="6"/>
  <c r="AU23" i="6" s="1"/>
  <c r="AU51" i="6"/>
  <c r="AU24" i="6" s="1"/>
  <c r="AU52" i="6"/>
  <c r="AU25" i="6" s="1"/>
  <c r="AU53" i="6"/>
  <c r="AU26" i="6" s="1"/>
  <c r="AU54" i="6"/>
  <c r="AU27" i="6" s="1"/>
  <c r="AU55" i="6"/>
  <c r="AU28" i="6" s="1"/>
  <c r="AU56" i="6"/>
  <c r="AU29" i="6" s="1"/>
  <c r="AK39" i="5"/>
  <c r="AO38" i="5"/>
  <c r="C53" i="5"/>
  <c r="E53" i="5" s="1"/>
  <c r="AC40" i="5"/>
  <c r="C54" i="5" s="1"/>
  <c r="E54" i="5" s="1"/>
  <c r="AG59" i="5"/>
  <c r="AV10" i="6" l="1"/>
  <c r="AW9" i="6"/>
  <c r="AW10" i="6" s="1"/>
  <c r="AV38" i="6"/>
  <c r="AV11" i="6" s="1"/>
  <c r="AV39" i="6"/>
  <c r="AV12" i="6" s="1"/>
  <c r="AV40" i="6"/>
  <c r="AV13" i="6" s="1"/>
  <c r="AV41" i="6"/>
  <c r="AV14" i="6" s="1"/>
  <c r="AV42" i="6"/>
  <c r="AV15" i="6" s="1"/>
  <c r="AV43" i="6"/>
  <c r="AV16" i="6" s="1"/>
  <c r="AV44" i="6"/>
  <c r="AV17" i="6" s="1"/>
  <c r="AV45" i="6"/>
  <c r="AV18" i="6" s="1"/>
  <c r="AV46" i="6"/>
  <c r="AV19" i="6" s="1"/>
  <c r="AV47" i="6"/>
  <c r="AV20" i="6" s="1"/>
  <c r="AV48" i="6"/>
  <c r="AV21" i="6" s="1"/>
  <c r="AV49" i="6"/>
  <c r="AV22" i="6" s="1"/>
  <c r="AV50" i="6"/>
  <c r="AV23" i="6" s="1"/>
  <c r="AV51" i="6"/>
  <c r="AV24" i="6" s="1"/>
  <c r="AV52" i="6"/>
  <c r="AV25" i="6" s="1"/>
  <c r="AV53" i="6"/>
  <c r="AV26" i="6" s="1"/>
  <c r="AV54" i="6"/>
  <c r="AV27" i="6" s="1"/>
  <c r="AV55" i="6"/>
  <c r="AV28" i="6" s="1"/>
  <c r="AV56" i="6"/>
  <c r="AV29" i="6" s="1"/>
  <c r="AK40" i="5"/>
  <c r="AO39" i="5"/>
  <c r="D53" i="5"/>
  <c r="D54" i="5"/>
  <c r="AG60" i="5"/>
  <c r="AC41" i="5"/>
  <c r="AX9" i="6" l="1"/>
  <c r="AX10" i="6" s="1"/>
  <c r="AW38" i="6"/>
  <c r="AW11" i="6" s="1"/>
  <c r="AW39" i="6"/>
  <c r="AW12" i="6" s="1"/>
  <c r="AW40" i="6"/>
  <c r="AW13" i="6" s="1"/>
  <c r="AW41" i="6"/>
  <c r="AW14" i="6" s="1"/>
  <c r="AW42" i="6"/>
  <c r="AW15" i="6" s="1"/>
  <c r="AW43" i="6"/>
  <c r="AW16" i="6" s="1"/>
  <c r="AW44" i="6"/>
  <c r="AW17" i="6" s="1"/>
  <c r="AW45" i="6"/>
  <c r="AW18" i="6" s="1"/>
  <c r="AW46" i="6"/>
  <c r="AW19" i="6" s="1"/>
  <c r="AW47" i="6"/>
  <c r="AW20" i="6" s="1"/>
  <c r="AW48" i="6"/>
  <c r="AW21" i="6" s="1"/>
  <c r="AW49" i="6"/>
  <c r="AW22" i="6" s="1"/>
  <c r="AW50" i="6"/>
  <c r="AW23" i="6" s="1"/>
  <c r="AW51" i="6"/>
  <c r="AW24" i="6" s="1"/>
  <c r="AW52" i="6"/>
  <c r="AW25" i="6" s="1"/>
  <c r="AW53" i="6"/>
  <c r="AW26" i="6" s="1"/>
  <c r="AW54" i="6"/>
  <c r="AW27" i="6" s="1"/>
  <c r="AW55" i="6"/>
  <c r="AW28" i="6" s="1"/>
  <c r="AW56" i="6"/>
  <c r="AW29" i="6" s="1"/>
  <c r="AK41" i="5"/>
  <c r="AO40" i="5"/>
  <c r="C55" i="5"/>
  <c r="E55" i="5" s="1"/>
  <c r="AC42" i="5"/>
  <c r="C56" i="5" s="1"/>
  <c r="E56" i="5" s="1"/>
  <c r="AG61" i="5"/>
  <c r="AY9" i="6" l="1"/>
  <c r="AX38" i="6"/>
  <c r="AX11" i="6" s="1"/>
  <c r="AX39" i="6"/>
  <c r="AX12" i="6" s="1"/>
  <c r="AX40" i="6"/>
  <c r="AX13" i="6" s="1"/>
  <c r="AX41" i="6"/>
  <c r="AX14" i="6" s="1"/>
  <c r="AX42" i="6"/>
  <c r="AX15" i="6" s="1"/>
  <c r="AX43" i="6"/>
  <c r="AX16" i="6" s="1"/>
  <c r="AX44" i="6"/>
  <c r="AX17" i="6" s="1"/>
  <c r="AX45" i="6"/>
  <c r="AX18" i="6" s="1"/>
  <c r="AX46" i="6"/>
  <c r="AX19" i="6" s="1"/>
  <c r="AX47" i="6"/>
  <c r="AX20" i="6" s="1"/>
  <c r="AX48" i="6"/>
  <c r="AX21" i="6" s="1"/>
  <c r="AX49" i="6"/>
  <c r="AX22" i="6" s="1"/>
  <c r="AX50" i="6"/>
  <c r="AX23" i="6" s="1"/>
  <c r="AX51" i="6"/>
  <c r="AX24" i="6" s="1"/>
  <c r="AX52" i="6"/>
  <c r="AX25" i="6" s="1"/>
  <c r="AX53" i="6"/>
  <c r="AX26" i="6" s="1"/>
  <c r="AX54" i="6"/>
  <c r="AX27" i="6" s="1"/>
  <c r="AX55" i="6"/>
  <c r="AX28" i="6" s="1"/>
  <c r="AX56" i="6"/>
  <c r="AX29" i="6" s="1"/>
  <c r="AK42" i="5"/>
  <c r="AO41" i="5"/>
  <c r="D56" i="5"/>
  <c r="D55" i="5"/>
  <c r="AG62" i="5"/>
  <c r="AC43" i="5"/>
  <c r="AZ9" i="6" l="1"/>
  <c r="AZ10" i="6" s="1"/>
  <c r="AY38" i="6"/>
  <c r="AY11" i="6" s="1"/>
  <c r="AY39" i="6"/>
  <c r="AY12" i="6" s="1"/>
  <c r="AY40" i="6"/>
  <c r="AY13" i="6" s="1"/>
  <c r="AY41" i="6"/>
  <c r="AY14" i="6" s="1"/>
  <c r="AY42" i="6"/>
  <c r="AY15" i="6" s="1"/>
  <c r="AY43" i="6"/>
  <c r="AY16" i="6" s="1"/>
  <c r="AY44" i="6"/>
  <c r="AY17" i="6" s="1"/>
  <c r="AY45" i="6"/>
  <c r="AY18" i="6" s="1"/>
  <c r="AY46" i="6"/>
  <c r="AY19" i="6" s="1"/>
  <c r="AY47" i="6"/>
  <c r="AY20" i="6" s="1"/>
  <c r="AY48" i="6"/>
  <c r="AY21" i="6" s="1"/>
  <c r="AY49" i="6"/>
  <c r="AY22" i="6" s="1"/>
  <c r="AY50" i="6"/>
  <c r="AY23" i="6" s="1"/>
  <c r="AY51" i="6"/>
  <c r="AY24" i="6" s="1"/>
  <c r="AY52" i="6"/>
  <c r="AY25" i="6" s="1"/>
  <c r="AY53" i="6"/>
  <c r="AY26" i="6" s="1"/>
  <c r="AY54" i="6"/>
  <c r="AY27" i="6" s="1"/>
  <c r="AY55" i="6"/>
  <c r="AY28" i="6" s="1"/>
  <c r="AY56" i="6"/>
  <c r="AY29" i="6" s="1"/>
  <c r="AY10" i="6"/>
  <c r="AK43" i="5"/>
  <c r="AO42" i="5"/>
  <c r="C57" i="5"/>
  <c r="E57" i="5" s="1"/>
  <c r="AC44" i="5"/>
  <c r="C58" i="5" s="1"/>
  <c r="E58" i="5" s="1"/>
  <c r="AG63" i="5"/>
  <c r="BA9" i="6" l="1"/>
  <c r="BA10" i="6" s="1"/>
  <c r="AZ38" i="6"/>
  <c r="AZ11" i="6" s="1"/>
  <c r="AZ39" i="6"/>
  <c r="AZ12" i="6" s="1"/>
  <c r="AZ40" i="6"/>
  <c r="AZ13" i="6" s="1"/>
  <c r="AZ41" i="6"/>
  <c r="AZ14" i="6" s="1"/>
  <c r="AZ42" i="6"/>
  <c r="AZ15" i="6" s="1"/>
  <c r="AZ43" i="6"/>
  <c r="AZ16" i="6" s="1"/>
  <c r="AZ44" i="6"/>
  <c r="AZ17" i="6" s="1"/>
  <c r="AZ45" i="6"/>
  <c r="AZ18" i="6" s="1"/>
  <c r="AZ46" i="6"/>
  <c r="AZ19" i="6" s="1"/>
  <c r="AZ47" i="6"/>
  <c r="AZ20" i="6" s="1"/>
  <c r="AZ48" i="6"/>
  <c r="AZ21" i="6" s="1"/>
  <c r="AZ49" i="6"/>
  <c r="AZ22" i="6" s="1"/>
  <c r="AZ50" i="6"/>
  <c r="AZ23" i="6" s="1"/>
  <c r="AZ51" i="6"/>
  <c r="AZ24" i="6" s="1"/>
  <c r="AZ52" i="6"/>
  <c r="AZ25" i="6" s="1"/>
  <c r="AZ53" i="6"/>
  <c r="AZ26" i="6" s="1"/>
  <c r="AZ54" i="6"/>
  <c r="AZ27" i="6" s="1"/>
  <c r="AZ55" i="6"/>
  <c r="AZ28" i="6" s="1"/>
  <c r="AZ56" i="6"/>
  <c r="AZ29" i="6" s="1"/>
  <c r="AK44" i="5"/>
  <c r="AO43" i="5"/>
  <c r="D58" i="5"/>
  <c r="D57" i="5"/>
  <c r="AG64" i="5"/>
  <c r="AC45" i="5"/>
  <c r="C59" i="5" s="1"/>
  <c r="E59" i="5" s="1"/>
  <c r="BB9" i="6" l="1"/>
  <c r="BB10" i="6" s="1"/>
  <c r="BA38" i="6"/>
  <c r="BA11" i="6" s="1"/>
  <c r="BA39" i="6"/>
  <c r="BA12" i="6" s="1"/>
  <c r="BA40" i="6"/>
  <c r="BA13" i="6" s="1"/>
  <c r="BA41" i="6"/>
  <c r="BA14" i="6" s="1"/>
  <c r="BA42" i="6"/>
  <c r="BA15" i="6" s="1"/>
  <c r="BA43" i="6"/>
  <c r="BA16" i="6" s="1"/>
  <c r="BA44" i="6"/>
  <c r="BA17" i="6" s="1"/>
  <c r="BA45" i="6"/>
  <c r="BA18" i="6" s="1"/>
  <c r="BA46" i="6"/>
  <c r="BA19" i="6" s="1"/>
  <c r="BA47" i="6"/>
  <c r="BA20" i="6" s="1"/>
  <c r="BA48" i="6"/>
  <c r="BA21" i="6" s="1"/>
  <c r="BA49" i="6"/>
  <c r="BA22" i="6" s="1"/>
  <c r="BA50" i="6"/>
  <c r="BA23" i="6" s="1"/>
  <c r="BA51" i="6"/>
  <c r="BA24" i="6" s="1"/>
  <c r="BA52" i="6"/>
  <c r="BA25" i="6" s="1"/>
  <c r="BA53" i="6"/>
  <c r="BA26" i="6" s="1"/>
  <c r="BA54" i="6"/>
  <c r="BA27" i="6" s="1"/>
  <c r="BA55" i="6"/>
  <c r="BA28" i="6" s="1"/>
  <c r="BA56" i="6"/>
  <c r="BA29" i="6" s="1"/>
  <c r="AK45" i="5"/>
  <c r="AO44" i="5"/>
  <c r="D59" i="5"/>
  <c r="AC46" i="5"/>
  <c r="C60" i="5" s="1"/>
  <c r="E60" i="5" s="1"/>
  <c r="AG65" i="5"/>
  <c r="BC9" i="6" l="1"/>
  <c r="BC10" i="6" s="1"/>
  <c r="BB38" i="6"/>
  <c r="BB11" i="6" s="1"/>
  <c r="BB39" i="6"/>
  <c r="BB12" i="6" s="1"/>
  <c r="BB40" i="6"/>
  <c r="BB13" i="6" s="1"/>
  <c r="BB41" i="6"/>
  <c r="BB14" i="6" s="1"/>
  <c r="BB42" i="6"/>
  <c r="BB15" i="6" s="1"/>
  <c r="BB43" i="6"/>
  <c r="BB16" i="6" s="1"/>
  <c r="BB44" i="6"/>
  <c r="BB17" i="6" s="1"/>
  <c r="BB45" i="6"/>
  <c r="BB18" i="6" s="1"/>
  <c r="BB46" i="6"/>
  <c r="BB19" i="6" s="1"/>
  <c r="BB47" i="6"/>
  <c r="BB20" i="6" s="1"/>
  <c r="BB48" i="6"/>
  <c r="BB21" i="6" s="1"/>
  <c r="BB49" i="6"/>
  <c r="BB22" i="6" s="1"/>
  <c r="BB50" i="6"/>
  <c r="BB23" i="6" s="1"/>
  <c r="BB51" i="6"/>
  <c r="BB24" i="6" s="1"/>
  <c r="BB52" i="6"/>
  <c r="BB25" i="6" s="1"/>
  <c r="BB53" i="6"/>
  <c r="BB26" i="6" s="1"/>
  <c r="BB54" i="6"/>
  <c r="BB27" i="6" s="1"/>
  <c r="BB55" i="6"/>
  <c r="BB28" i="6" s="1"/>
  <c r="BB56" i="6"/>
  <c r="BB29" i="6" s="1"/>
  <c r="AK46" i="5"/>
  <c r="AO45" i="5"/>
  <c r="D60" i="5"/>
  <c r="AG66" i="5"/>
  <c r="AC47" i="5"/>
  <c r="C61" i="5" s="1"/>
  <c r="E61" i="5" s="1"/>
  <c r="BD9" i="6" l="1"/>
  <c r="BC38" i="6"/>
  <c r="BC11" i="6" s="1"/>
  <c r="BC39" i="6"/>
  <c r="BC12" i="6" s="1"/>
  <c r="BC40" i="6"/>
  <c r="BC13" i="6" s="1"/>
  <c r="BC41" i="6"/>
  <c r="BC14" i="6" s="1"/>
  <c r="BC42" i="6"/>
  <c r="BC15" i="6" s="1"/>
  <c r="BC43" i="6"/>
  <c r="BC16" i="6" s="1"/>
  <c r="BC44" i="6"/>
  <c r="BC17" i="6" s="1"/>
  <c r="BC45" i="6"/>
  <c r="BC18" i="6" s="1"/>
  <c r="BC46" i="6"/>
  <c r="BC19" i="6" s="1"/>
  <c r="BC47" i="6"/>
  <c r="BC20" i="6" s="1"/>
  <c r="BC48" i="6"/>
  <c r="BC21" i="6" s="1"/>
  <c r="BC49" i="6"/>
  <c r="BC22" i="6" s="1"/>
  <c r="BC50" i="6"/>
  <c r="BC23" i="6" s="1"/>
  <c r="BC51" i="6"/>
  <c r="BC24" i="6" s="1"/>
  <c r="BC52" i="6"/>
  <c r="BC25" i="6" s="1"/>
  <c r="BC53" i="6"/>
  <c r="BC26" i="6" s="1"/>
  <c r="BC54" i="6"/>
  <c r="BC27" i="6" s="1"/>
  <c r="BC55" i="6"/>
  <c r="BC28" i="6" s="1"/>
  <c r="BC56" i="6"/>
  <c r="BC29" i="6" s="1"/>
  <c r="AK47" i="5"/>
  <c r="AO46" i="5"/>
  <c r="D61" i="5"/>
  <c r="AC48" i="5"/>
  <c r="C62" i="5" s="1"/>
  <c r="E62" i="5" s="1"/>
  <c r="AG67" i="5"/>
  <c r="BD10" i="6" l="1"/>
  <c r="BE9" i="6"/>
  <c r="BE10" i="6" s="1"/>
  <c r="BD38" i="6"/>
  <c r="BD11" i="6" s="1"/>
  <c r="BD39" i="6"/>
  <c r="BD12" i="6" s="1"/>
  <c r="BD40" i="6"/>
  <c r="BD13" i="6" s="1"/>
  <c r="BD41" i="6"/>
  <c r="BD14" i="6" s="1"/>
  <c r="BD42" i="6"/>
  <c r="BD15" i="6" s="1"/>
  <c r="BD43" i="6"/>
  <c r="BD16" i="6" s="1"/>
  <c r="BD44" i="6"/>
  <c r="BD17" i="6" s="1"/>
  <c r="BD45" i="6"/>
  <c r="BD18" i="6" s="1"/>
  <c r="BD46" i="6"/>
  <c r="BD19" i="6" s="1"/>
  <c r="BD47" i="6"/>
  <c r="BD20" i="6" s="1"/>
  <c r="BD48" i="6"/>
  <c r="BD21" i="6" s="1"/>
  <c r="BD49" i="6"/>
  <c r="BD22" i="6" s="1"/>
  <c r="BD50" i="6"/>
  <c r="BD23" i="6" s="1"/>
  <c r="BD51" i="6"/>
  <c r="BD24" i="6" s="1"/>
  <c r="BD52" i="6"/>
  <c r="BD25" i="6" s="1"/>
  <c r="BD53" i="6"/>
  <c r="BD26" i="6" s="1"/>
  <c r="BD54" i="6"/>
  <c r="BD27" i="6" s="1"/>
  <c r="BD55" i="6"/>
  <c r="BD28" i="6" s="1"/>
  <c r="BD56" i="6"/>
  <c r="BD29" i="6" s="1"/>
  <c r="AK48" i="5"/>
  <c r="AO47" i="5"/>
  <c r="D62" i="5"/>
  <c r="AG68" i="5"/>
  <c r="AC49" i="5"/>
  <c r="C63" i="5" s="1"/>
  <c r="E63" i="5" s="1"/>
  <c r="BF9" i="6" l="1"/>
  <c r="BF10" i="6" s="1"/>
  <c r="BE38" i="6"/>
  <c r="BE11" i="6" s="1"/>
  <c r="BE39" i="6"/>
  <c r="BE12" i="6" s="1"/>
  <c r="BE40" i="6"/>
  <c r="BE13" i="6" s="1"/>
  <c r="BE41" i="6"/>
  <c r="BE14" i="6" s="1"/>
  <c r="BE42" i="6"/>
  <c r="BE15" i="6" s="1"/>
  <c r="BE43" i="6"/>
  <c r="BE16" i="6" s="1"/>
  <c r="BE44" i="6"/>
  <c r="BE17" i="6" s="1"/>
  <c r="BE45" i="6"/>
  <c r="BE18" i="6" s="1"/>
  <c r="BE46" i="6"/>
  <c r="BE19" i="6" s="1"/>
  <c r="BE47" i="6"/>
  <c r="BE20" i="6" s="1"/>
  <c r="BE48" i="6"/>
  <c r="BE21" i="6" s="1"/>
  <c r="BE49" i="6"/>
  <c r="BE22" i="6" s="1"/>
  <c r="BE50" i="6"/>
  <c r="BE23" i="6" s="1"/>
  <c r="BE51" i="6"/>
  <c r="BE24" i="6" s="1"/>
  <c r="BE52" i="6"/>
  <c r="BE25" i="6" s="1"/>
  <c r="BE53" i="6"/>
  <c r="BE26" i="6" s="1"/>
  <c r="BE54" i="6"/>
  <c r="BE27" i="6" s="1"/>
  <c r="BE55" i="6"/>
  <c r="BE28" i="6" s="1"/>
  <c r="BE56" i="6"/>
  <c r="BE29" i="6" s="1"/>
  <c r="AK49" i="5"/>
  <c r="AO48" i="5"/>
  <c r="D63" i="5"/>
  <c r="AG69" i="5"/>
  <c r="AC50" i="5"/>
  <c r="C64" i="5" s="1"/>
  <c r="E64" i="5" s="1"/>
  <c r="BG9" i="6" l="1"/>
  <c r="BG10" i="6" s="1"/>
  <c r="BF38" i="6"/>
  <c r="BF11" i="6" s="1"/>
  <c r="BF39" i="6"/>
  <c r="BF12" i="6" s="1"/>
  <c r="BF40" i="6"/>
  <c r="BF13" i="6" s="1"/>
  <c r="BF41" i="6"/>
  <c r="BF14" i="6" s="1"/>
  <c r="BF42" i="6"/>
  <c r="BF15" i="6" s="1"/>
  <c r="BF43" i="6"/>
  <c r="BF16" i="6" s="1"/>
  <c r="BF44" i="6"/>
  <c r="BF17" i="6" s="1"/>
  <c r="BF45" i="6"/>
  <c r="BF18" i="6" s="1"/>
  <c r="BF46" i="6"/>
  <c r="BF19" i="6" s="1"/>
  <c r="BF47" i="6"/>
  <c r="BF20" i="6" s="1"/>
  <c r="BF48" i="6"/>
  <c r="BF21" i="6" s="1"/>
  <c r="BF49" i="6"/>
  <c r="BF22" i="6" s="1"/>
  <c r="BF50" i="6"/>
  <c r="BF23" i="6" s="1"/>
  <c r="BF51" i="6"/>
  <c r="BF24" i="6" s="1"/>
  <c r="BF52" i="6"/>
  <c r="BF25" i="6" s="1"/>
  <c r="BF53" i="6"/>
  <c r="BF26" i="6" s="1"/>
  <c r="BF54" i="6"/>
  <c r="BF27" i="6" s="1"/>
  <c r="BF55" i="6"/>
  <c r="BF28" i="6" s="1"/>
  <c r="BF56" i="6"/>
  <c r="BF29" i="6" s="1"/>
  <c r="AK50" i="5"/>
  <c r="AO49" i="5"/>
  <c r="D64" i="5"/>
  <c r="AG70" i="5"/>
  <c r="AC51" i="5"/>
  <c r="C65" i="5" s="1"/>
  <c r="E65" i="5" s="1"/>
  <c r="BH9" i="6" l="1"/>
  <c r="BH10" i="6" s="1"/>
  <c r="BG38" i="6"/>
  <c r="BG11" i="6" s="1"/>
  <c r="BG39" i="6"/>
  <c r="BG12" i="6" s="1"/>
  <c r="BG40" i="6"/>
  <c r="BG13" i="6" s="1"/>
  <c r="BG41" i="6"/>
  <c r="BG14" i="6" s="1"/>
  <c r="BG42" i="6"/>
  <c r="BG15" i="6" s="1"/>
  <c r="BG43" i="6"/>
  <c r="BG16" i="6" s="1"/>
  <c r="BG44" i="6"/>
  <c r="BG17" i="6" s="1"/>
  <c r="BG45" i="6"/>
  <c r="BG18" i="6" s="1"/>
  <c r="BG46" i="6"/>
  <c r="BG19" i="6" s="1"/>
  <c r="BG47" i="6"/>
  <c r="BG20" i="6" s="1"/>
  <c r="BG48" i="6"/>
  <c r="BG21" i="6" s="1"/>
  <c r="BG49" i="6"/>
  <c r="BG22" i="6" s="1"/>
  <c r="BG50" i="6"/>
  <c r="BG23" i="6" s="1"/>
  <c r="BG51" i="6"/>
  <c r="BG24" i="6" s="1"/>
  <c r="BG52" i="6"/>
  <c r="BG25" i="6" s="1"/>
  <c r="BG53" i="6"/>
  <c r="BG26" i="6" s="1"/>
  <c r="BG54" i="6"/>
  <c r="BG27" i="6" s="1"/>
  <c r="BG55" i="6"/>
  <c r="BG28" i="6" s="1"/>
  <c r="BG56" i="6"/>
  <c r="BG29" i="6" s="1"/>
  <c r="AK51" i="5"/>
  <c r="AO50" i="5"/>
  <c r="D65" i="5"/>
  <c r="AC52" i="5"/>
  <c r="C66" i="5" s="1"/>
  <c r="E66" i="5" s="1"/>
  <c r="AG71" i="5"/>
  <c r="BI9" i="6" l="1"/>
  <c r="BI10" i="6" s="1"/>
  <c r="BH38" i="6"/>
  <c r="BH11" i="6" s="1"/>
  <c r="BH39" i="6"/>
  <c r="BH12" i="6" s="1"/>
  <c r="BH40" i="6"/>
  <c r="BH13" i="6" s="1"/>
  <c r="BH41" i="6"/>
  <c r="BH14" i="6" s="1"/>
  <c r="BH42" i="6"/>
  <c r="BH15" i="6" s="1"/>
  <c r="BH43" i="6"/>
  <c r="BH16" i="6" s="1"/>
  <c r="BH44" i="6"/>
  <c r="BH17" i="6" s="1"/>
  <c r="BH45" i="6"/>
  <c r="BH18" i="6" s="1"/>
  <c r="BH46" i="6"/>
  <c r="BH19" i="6" s="1"/>
  <c r="BH47" i="6"/>
  <c r="BH20" i="6" s="1"/>
  <c r="BH48" i="6"/>
  <c r="BH21" i="6" s="1"/>
  <c r="BH49" i="6"/>
  <c r="BH22" i="6" s="1"/>
  <c r="BH50" i="6"/>
  <c r="BH23" i="6" s="1"/>
  <c r="BH51" i="6"/>
  <c r="BH24" i="6" s="1"/>
  <c r="BH52" i="6"/>
  <c r="BH25" i="6" s="1"/>
  <c r="BH53" i="6"/>
  <c r="BH26" i="6" s="1"/>
  <c r="BH54" i="6"/>
  <c r="BH27" i="6" s="1"/>
  <c r="BH55" i="6"/>
  <c r="BH28" i="6" s="1"/>
  <c r="BH56" i="6"/>
  <c r="BH29" i="6" s="1"/>
  <c r="AK52" i="5"/>
  <c r="AO51" i="5"/>
  <c r="D66" i="5"/>
  <c r="AG72" i="5"/>
  <c r="AC53" i="5"/>
  <c r="C67" i="5" s="1"/>
  <c r="E67" i="5" s="1"/>
  <c r="BJ9" i="6" l="1"/>
  <c r="BJ10" i="6" s="1"/>
  <c r="BI38" i="6"/>
  <c r="BI11" i="6" s="1"/>
  <c r="BI39" i="6"/>
  <c r="BI12" i="6" s="1"/>
  <c r="BI40" i="6"/>
  <c r="BI13" i="6" s="1"/>
  <c r="BI41" i="6"/>
  <c r="BI14" i="6" s="1"/>
  <c r="BI42" i="6"/>
  <c r="BI15" i="6" s="1"/>
  <c r="BI43" i="6"/>
  <c r="BI16" i="6" s="1"/>
  <c r="BI44" i="6"/>
  <c r="BI17" i="6" s="1"/>
  <c r="BI45" i="6"/>
  <c r="BI18" i="6" s="1"/>
  <c r="BI46" i="6"/>
  <c r="BI19" i="6" s="1"/>
  <c r="BI47" i="6"/>
  <c r="BI20" i="6" s="1"/>
  <c r="BI48" i="6"/>
  <c r="BI21" i="6" s="1"/>
  <c r="BI49" i="6"/>
  <c r="BI22" i="6" s="1"/>
  <c r="BI50" i="6"/>
  <c r="BI23" i="6" s="1"/>
  <c r="BI51" i="6"/>
  <c r="BI24" i="6" s="1"/>
  <c r="BI52" i="6"/>
  <c r="BI25" i="6" s="1"/>
  <c r="BI53" i="6"/>
  <c r="BI26" i="6" s="1"/>
  <c r="BI54" i="6"/>
  <c r="BI27" i="6" s="1"/>
  <c r="BI55" i="6"/>
  <c r="BI28" i="6" s="1"/>
  <c r="BI56" i="6"/>
  <c r="BI29" i="6" s="1"/>
  <c r="AK53" i="5"/>
  <c r="AO52" i="5"/>
  <c r="D67" i="5"/>
  <c r="AC54" i="5"/>
  <c r="C68" i="5" s="1"/>
  <c r="E68" i="5" s="1"/>
  <c r="AG73" i="5"/>
  <c r="BK9" i="6" l="1"/>
  <c r="BK10" i="6" s="1"/>
  <c r="BJ38" i="6"/>
  <c r="BJ11" i="6" s="1"/>
  <c r="BJ39" i="6"/>
  <c r="BJ12" i="6" s="1"/>
  <c r="BJ40" i="6"/>
  <c r="BJ13" i="6" s="1"/>
  <c r="BJ41" i="6"/>
  <c r="BJ14" i="6" s="1"/>
  <c r="BJ42" i="6"/>
  <c r="BJ15" i="6" s="1"/>
  <c r="BJ43" i="6"/>
  <c r="BJ16" i="6" s="1"/>
  <c r="BJ44" i="6"/>
  <c r="BJ17" i="6" s="1"/>
  <c r="BJ45" i="6"/>
  <c r="BJ18" i="6" s="1"/>
  <c r="BJ46" i="6"/>
  <c r="BJ19" i="6" s="1"/>
  <c r="BJ47" i="6"/>
  <c r="BJ20" i="6" s="1"/>
  <c r="BJ48" i="6"/>
  <c r="BJ21" i="6" s="1"/>
  <c r="BJ49" i="6"/>
  <c r="BJ22" i="6" s="1"/>
  <c r="BJ50" i="6"/>
  <c r="BJ23" i="6" s="1"/>
  <c r="BJ51" i="6"/>
  <c r="BJ24" i="6" s="1"/>
  <c r="BJ52" i="6"/>
  <c r="BJ25" i="6" s="1"/>
  <c r="BJ53" i="6"/>
  <c r="BJ26" i="6" s="1"/>
  <c r="BJ54" i="6"/>
  <c r="BJ27" i="6" s="1"/>
  <c r="BJ55" i="6"/>
  <c r="BJ28" i="6" s="1"/>
  <c r="BJ56" i="6"/>
  <c r="BJ29" i="6" s="1"/>
  <c r="AK54" i="5"/>
  <c r="AO53" i="5"/>
  <c r="D68" i="5"/>
  <c r="AG74" i="5"/>
  <c r="AC55" i="5"/>
  <c r="C69" i="5" s="1"/>
  <c r="E69" i="5" s="1"/>
  <c r="BL9" i="6" l="1"/>
  <c r="BL10" i="6" s="1"/>
  <c r="BK38" i="6"/>
  <c r="BK11" i="6" s="1"/>
  <c r="BK39" i="6"/>
  <c r="BK12" i="6" s="1"/>
  <c r="BK40" i="6"/>
  <c r="BK13" i="6" s="1"/>
  <c r="BK41" i="6"/>
  <c r="BK14" i="6" s="1"/>
  <c r="BK42" i="6"/>
  <c r="BK15" i="6" s="1"/>
  <c r="BK43" i="6"/>
  <c r="BK16" i="6" s="1"/>
  <c r="BK44" i="6"/>
  <c r="BK17" i="6" s="1"/>
  <c r="BK45" i="6"/>
  <c r="BK18" i="6" s="1"/>
  <c r="BK46" i="6"/>
  <c r="BK19" i="6" s="1"/>
  <c r="BK47" i="6"/>
  <c r="BK20" i="6" s="1"/>
  <c r="BK48" i="6"/>
  <c r="BK21" i="6" s="1"/>
  <c r="BK49" i="6"/>
  <c r="BK22" i="6" s="1"/>
  <c r="BK50" i="6"/>
  <c r="BK23" i="6" s="1"/>
  <c r="BK51" i="6"/>
  <c r="BK24" i="6" s="1"/>
  <c r="BK52" i="6"/>
  <c r="BK25" i="6" s="1"/>
  <c r="BK53" i="6"/>
  <c r="BK26" i="6" s="1"/>
  <c r="BK54" i="6"/>
  <c r="BK27" i="6" s="1"/>
  <c r="BK55" i="6"/>
  <c r="BK28" i="6" s="1"/>
  <c r="BK56" i="6"/>
  <c r="BK29" i="6" s="1"/>
  <c r="AK55" i="5"/>
  <c r="AO54" i="5"/>
  <c r="D69" i="5"/>
  <c r="AC56" i="5"/>
  <c r="C70" i="5" s="1"/>
  <c r="E70" i="5" s="1"/>
  <c r="AG75" i="5"/>
  <c r="BM9" i="6" l="1"/>
  <c r="BM10" i="6" s="1"/>
  <c r="BL38" i="6"/>
  <c r="BL11" i="6" s="1"/>
  <c r="BL39" i="6"/>
  <c r="BL12" i="6" s="1"/>
  <c r="BL40" i="6"/>
  <c r="BL13" i="6" s="1"/>
  <c r="BL41" i="6"/>
  <c r="BL14" i="6" s="1"/>
  <c r="BL42" i="6"/>
  <c r="BL15" i="6" s="1"/>
  <c r="BL43" i="6"/>
  <c r="BL16" i="6" s="1"/>
  <c r="BL44" i="6"/>
  <c r="BL17" i="6" s="1"/>
  <c r="BL45" i="6"/>
  <c r="BL18" i="6" s="1"/>
  <c r="BL46" i="6"/>
  <c r="BL19" i="6" s="1"/>
  <c r="BL47" i="6"/>
  <c r="BL20" i="6" s="1"/>
  <c r="BL48" i="6"/>
  <c r="BL21" i="6" s="1"/>
  <c r="BL49" i="6"/>
  <c r="BL22" i="6" s="1"/>
  <c r="BL50" i="6"/>
  <c r="BL23" i="6" s="1"/>
  <c r="BL51" i="6"/>
  <c r="BL24" i="6" s="1"/>
  <c r="BL52" i="6"/>
  <c r="BL25" i="6" s="1"/>
  <c r="BL53" i="6"/>
  <c r="BL26" i="6" s="1"/>
  <c r="BL54" i="6"/>
  <c r="BL27" i="6" s="1"/>
  <c r="BL55" i="6"/>
  <c r="BL28" i="6" s="1"/>
  <c r="BL56" i="6"/>
  <c r="BL29" i="6" s="1"/>
  <c r="AK56" i="5"/>
  <c r="AO55" i="5"/>
  <c r="D70" i="5"/>
  <c r="AG76" i="5"/>
  <c r="AC57" i="5"/>
  <c r="C71" i="5" s="1"/>
  <c r="E71" i="5" s="1"/>
  <c r="BN9" i="6" l="1"/>
  <c r="BN10" i="6" s="1"/>
  <c r="BM38" i="6"/>
  <c r="BM11" i="6" s="1"/>
  <c r="BM39" i="6"/>
  <c r="BM12" i="6" s="1"/>
  <c r="BM40" i="6"/>
  <c r="BM13" i="6" s="1"/>
  <c r="BM41" i="6"/>
  <c r="BM14" i="6" s="1"/>
  <c r="BM42" i="6"/>
  <c r="BM15" i="6" s="1"/>
  <c r="BM43" i="6"/>
  <c r="BM16" i="6" s="1"/>
  <c r="BM44" i="6"/>
  <c r="BM17" i="6" s="1"/>
  <c r="BM45" i="6"/>
  <c r="BM18" i="6" s="1"/>
  <c r="BM46" i="6"/>
  <c r="BM19" i="6" s="1"/>
  <c r="BM47" i="6"/>
  <c r="BM20" i="6" s="1"/>
  <c r="BM48" i="6"/>
  <c r="BM21" i="6" s="1"/>
  <c r="BM49" i="6"/>
  <c r="BM22" i="6" s="1"/>
  <c r="BM50" i="6"/>
  <c r="BM23" i="6" s="1"/>
  <c r="BM51" i="6"/>
  <c r="BM24" i="6" s="1"/>
  <c r="BM52" i="6"/>
  <c r="BM25" i="6" s="1"/>
  <c r="BM53" i="6"/>
  <c r="BM26" i="6" s="1"/>
  <c r="BM54" i="6"/>
  <c r="BM27" i="6" s="1"/>
  <c r="BM55" i="6"/>
  <c r="BM28" i="6" s="1"/>
  <c r="BM56" i="6"/>
  <c r="BM29" i="6" s="1"/>
  <c r="AK57" i="5"/>
  <c r="AO56" i="5"/>
  <c r="D71" i="5"/>
  <c r="AC58" i="5"/>
  <c r="C72" i="5" s="1"/>
  <c r="E72" i="5" s="1"/>
  <c r="AG77" i="5"/>
  <c r="BO9" i="6" l="1"/>
  <c r="BO10" i="6" s="1"/>
  <c r="BN38" i="6"/>
  <c r="BN11" i="6" s="1"/>
  <c r="BN39" i="6"/>
  <c r="BN12" i="6" s="1"/>
  <c r="BN40" i="6"/>
  <c r="BN13" i="6" s="1"/>
  <c r="BN41" i="6"/>
  <c r="BN14" i="6" s="1"/>
  <c r="BN42" i="6"/>
  <c r="BN15" i="6" s="1"/>
  <c r="BN43" i="6"/>
  <c r="BN16" i="6" s="1"/>
  <c r="BN44" i="6"/>
  <c r="BN17" i="6" s="1"/>
  <c r="BN45" i="6"/>
  <c r="BN18" i="6" s="1"/>
  <c r="BN46" i="6"/>
  <c r="BN19" i="6" s="1"/>
  <c r="BN47" i="6"/>
  <c r="BN20" i="6" s="1"/>
  <c r="BN48" i="6"/>
  <c r="BN21" i="6" s="1"/>
  <c r="BN49" i="6"/>
  <c r="BN22" i="6" s="1"/>
  <c r="BN50" i="6"/>
  <c r="BN23" i="6" s="1"/>
  <c r="BN51" i="6"/>
  <c r="BN24" i="6" s="1"/>
  <c r="BN52" i="6"/>
  <c r="BN25" i="6" s="1"/>
  <c r="BN53" i="6"/>
  <c r="BN26" i="6" s="1"/>
  <c r="BN54" i="6"/>
  <c r="BN27" i="6" s="1"/>
  <c r="BN55" i="6"/>
  <c r="BN28" i="6" s="1"/>
  <c r="BN56" i="6"/>
  <c r="BN29" i="6" s="1"/>
  <c r="AK58" i="5"/>
  <c r="AO57" i="5"/>
  <c r="D72" i="5"/>
  <c r="AG78" i="5"/>
  <c r="AC59" i="5"/>
  <c r="C73" i="5" s="1"/>
  <c r="E73" i="5" s="1"/>
  <c r="BP9" i="6" l="1"/>
  <c r="BP10" i="6" s="1"/>
  <c r="BO38" i="6"/>
  <c r="BO11" i="6" s="1"/>
  <c r="BO39" i="6"/>
  <c r="BO12" i="6" s="1"/>
  <c r="BO40" i="6"/>
  <c r="BO13" i="6" s="1"/>
  <c r="BO41" i="6"/>
  <c r="BO14" i="6" s="1"/>
  <c r="BO42" i="6"/>
  <c r="BO15" i="6" s="1"/>
  <c r="BO43" i="6"/>
  <c r="BO16" i="6" s="1"/>
  <c r="BO44" i="6"/>
  <c r="BO17" i="6" s="1"/>
  <c r="BO45" i="6"/>
  <c r="BO18" i="6" s="1"/>
  <c r="BO46" i="6"/>
  <c r="BO19" i="6" s="1"/>
  <c r="BO47" i="6"/>
  <c r="BO20" i="6" s="1"/>
  <c r="BO48" i="6"/>
  <c r="BO21" i="6" s="1"/>
  <c r="BO49" i="6"/>
  <c r="BO22" i="6" s="1"/>
  <c r="BO50" i="6"/>
  <c r="BO23" i="6" s="1"/>
  <c r="BO51" i="6"/>
  <c r="BO24" i="6" s="1"/>
  <c r="BO52" i="6"/>
  <c r="BO25" i="6" s="1"/>
  <c r="BO53" i="6"/>
  <c r="BO26" i="6" s="1"/>
  <c r="BO54" i="6"/>
  <c r="BO27" i="6" s="1"/>
  <c r="BO55" i="6"/>
  <c r="BO28" i="6" s="1"/>
  <c r="BO56" i="6"/>
  <c r="BO29" i="6" s="1"/>
  <c r="AK59" i="5"/>
  <c r="AO58" i="5"/>
  <c r="D73" i="5"/>
  <c r="AC60" i="5"/>
  <c r="C74" i="5" s="1"/>
  <c r="E74" i="5" s="1"/>
  <c r="AG79" i="5"/>
  <c r="BQ9" i="6" l="1"/>
  <c r="BQ10" i="6" s="1"/>
  <c r="BP38" i="6"/>
  <c r="BP11" i="6" s="1"/>
  <c r="BP39" i="6"/>
  <c r="BP12" i="6" s="1"/>
  <c r="BP40" i="6"/>
  <c r="BP13" i="6" s="1"/>
  <c r="BP41" i="6"/>
  <c r="BP14" i="6" s="1"/>
  <c r="BP42" i="6"/>
  <c r="BP15" i="6" s="1"/>
  <c r="BP43" i="6"/>
  <c r="BP16" i="6" s="1"/>
  <c r="BP44" i="6"/>
  <c r="BP17" i="6" s="1"/>
  <c r="BP45" i="6"/>
  <c r="BP18" i="6" s="1"/>
  <c r="BP46" i="6"/>
  <c r="BP19" i="6" s="1"/>
  <c r="BP47" i="6"/>
  <c r="BP20" i="6" s="1"/>
  <c r="BP48" i="6"/>
  <c r="BP21" i="6" s="1"/>
  <c r="BP49" i="6"/>
  <c r="BP22" i="6" s="1"/>
  <c r="BP50" i="6"/>
  <c r="BP23" i="6" s="1"/>
  <c r="BP51" i="6"/>
  <c r="BP24" i="6" s="1"/>
  <c r="BP52" i="6"/>
  <c r="BP25" i="6" s="1"/>
  <c r="BP53" i="6"/>
  <c r="BP26" i="6" s="1"/>
  <c r="BP54" i="6"/>
  <c r="BP27" i="6" s="1"/>
  <c r="BP55" i="6"/>
  <c r="BP28" i="6" s="1"/>
  <c r="BP56" i="6"/>
  <c r="BP29" i="6" s="1"/>
  <c r="AK60" i="5"/>
  <c r="AO59" i="5"/>
  <c r="D74" i="5"/>
  <c r="AG80" i="5"/>
  <c r="AC61" i="5"/>
  <c r="C75" i="5" s="1"/>
  <c r="E75" i="5" s="1"/>
  <c r="BR9" i="6" l="1"/>
  <c r="BR10" i="6" s="1"/>
  <c r="BQ38" i="6"/>
  <c r="BQ11" i="6" s="1"/>
  <c r="BQ39" i="6"/>
  <c r="BQ12" i="6" s="1"/>
  <c r="BQ40" i="6"/>
  <c r="BQ13" i="6" s="1"/>
  <c r="BQ41" i="6"/>
  <c r="BQ14" i="6" s="1"/>
  <c r="BQ42" i="6"/>
  <c r="BQ15" i="6" s="1"/>
  <c r="BQ43" i="6"/>
  <c r="BQ16" i="6" s="1"/>
  <c r="BQ44" i="6"/>
  <c r="BQ17" i="6" s="1"/>
  <c r="BQ45" i="6"/>
  <c r="BQ18" i="6" s="1"/>
  <c r="BQ46" i="6"/>
  <c r="BQ19" i="6" s="1"/>
  <c r="BQ47" i="6"/>
  <c r="BQ20" i="6" s="1"/>
  <c r="BQ48" i="6"/>
  <c r="BQ21" i="6" s="1"/>
  <c r="BQ49" i="6"/>
  <c r="BQ22" i="6" s="1"/>
  <c r="BQ50" i="6"/>
  <c r="BQ23" i="6" s="1"/>
  <c r="BQ51" i="6"/>
  <c r="BQ24" i="6" s="1"/>
  <c r="BQ52" i="6"/>
  <c r="BQ25" i="6" s="1"/>
  <c r="BQ53" i="6"/>
  <c r="BQ26" i="6" s="1"/>
  <c r="BQ54" i="6"/>
  <c r="BQ27" i="6" s="1"/>
  <c r="BQ55" i="6"/>
  <c r="BQ28" i="6" s="1"/>
  <c r="BQ56" i="6"/>
  <c r="BQ29" i="6" s="1"/>
  <c r="AK61" i="5"/>
  <c r="AO60" i="5"/>
  <c r="D75" i="5"/>
  <c r="AC62" i="5"/>
  <c r="C76" i="5" s="1"/>
  <c r="E76" i="5" s="1"/>
  <c r="AG81" i="5"/>
  <c r="BS9" i="6" l="1"/>
  <c r="BS10" i="6" s="1"/>
  <c r="BR38" i="6"/>
  <c r="BR11" i="6" s="1"/>
  <c r="BR39" i="6"/>
  <c r="BR12" i="6" s="1"/>
  <c r="BR40" i="6"/>
  <c r="BR13" i="6" s="1"/>
  <c r="BR41" i="6"/>
  <c r="BR14" i="6" s="1"/>
  <c r="BR42" i="6"/>
  <c r="BR15" i="6" s="1"/>
  <c r="BR43" i="6"/>
  <c r="BR16" i="6" s="1"/>
  <c r="BR44" i="6"/>
  <c r="BR17" i="6" s="1"/>
  <c r="BR45" i="6"/>
  <c r="BR18" i="6" s="1"/>
  <c r="BR46" i="6"/>
  <c r="BR19" i="6" s="1"/>
  <c r="BR47" i="6"/>
  <c r="BR20" i="6" s="1"/>
  <c r="BR48" i="6"/>
  <c r="BR21" i="6" s="1"/>
  <c r="BR49" i="6"/>
  <c r="BR22" i="6" s="1"/>
  <c r="BR50" i="6"/>
  <c r="BR23" i="6" s="1"/>
  <c r="BR51" i="6"/>
  <c r="BR24" i="6" s="1"/>
  <c r="BR52" i="6"/>
  <c r="BR25" i="6" s="1"/>
  <c r="BR53" i="6"/>
  <c r="BR26" i="6" s="1"/>
  <c r="BR54" i="6"/>
  <c r="BR27" i="6" s="1"/>
  <c r="BR55" i="6"/>
  <c r="BR28" i="6" s="1"/>
  <c r="BR56" i="6"/>
  <c r="BR29" i="6" s="1"/>
  <c r="AK62" i="5"/>
  <c r="AO61" i="5"/>
  <c r="D76" i="5"/>
  <c r="AG82" i="5"/>
  <c r="AC63" i="5"/>
  <c r="C77" i="5" s="1"/>
  <c r="E77" i="5" s="1"/>
  <c r="BT9" i="6" l="1"/>
  <c r="BT10" i="6" s="1"/>
  <c r="BS38" i="6"/>
  <c r="BS11" i="6" s="1"/>
  <c r="BS39" i="6"/>
  <c r="BS12" i="6" s="1"/>
  <c r="BS40" i="6"/>
  <c r="BS13" i="6" s="1"/>
  <c r="BS41" i="6"/>
  <c r="BS14" i="6" s="1"/>
  <c r="BS42" i="6"/>
  <c r="BS15" i="6" s="1"/>
  <c r="BS43" i="6"/>
  <c r="BS16" i="6" s="1"/>
  <c r="BS44" i="6"/>
  <c r="BS17" i="6" s="1"/>
  <c r="BS45" i="6"/>
  <c r="BS18" i="6" s="1"/>
  <c r="BS46" i="6"/>
  <c r="BS19" i="6" s="1"/>
  <c r="BS47" i="6"/>
  <c r="BS20" i="6" s="1"/>
  <c r="BS48" i="6"/>
  <c r="BS21" i="6" s="1"/>
  <c r="BS49" i="6"/>
  <c r="BS22" i="6" s="1"/>
  <c r="BS50" i="6"/>
  <c r="BS23" i="6" s="1"/>
  <c r="BS51" i="6"/>
  <c r="BS24" i="6" s="1"/>
  <c r="BS52" i="6"/>
  <c r="BS25" i="6" s="1"/>
  <c r="BS53" i="6"/>
  <c r="BS26" i="6" s="1"/>
  <c r="BS54" i="6"/>
  <c r="BS27" i="6" s="1"/>
  <c r="BS55" i="6"/>
  <c r="BS28" i="6" s="1"/>
  <c r="BS56" i="6"/>
  <c r="BS29" i="6" s="1"/>
  <c r="AK63" i="5"/>
  <c r="AO62" i="5"/>
  <c r="D77" i="5"/>
  <c r="AC64" i="5"/>
  <c r="C78" i="5" s="1"/>
  <c r="E78" i="5" s="1"/>
  <c r="AG83" i="5"/>
  <c r="BU9" i="6" l="1"/>
  <c r="BU10" i="6" s="1"/>
  <c r="BT38" i="6"/>
  <c r="BT11" i="6" s="1"/>
  <c r="BT39" i="6"/>
  <c r="BT12" i="6" s="1"/>
  <c r="BT40" i="6"/>
  <c r="BT13" i="6" s="1"/>
  <c r="BT41" i="6"/>
  <c r="BT14" i="6" s="1"/>
  <c r="BT42" i="6"/>
  <c r="BT15" i="6" s="1"/>
  <c r="BT43" i="6"/>
  <c r="BT16" i="6" s="1"/>
  <c r="BT44" i="6"/>
  <c r="BT17" i="6" s="1"/>
  <c r="BT45" i="6"/>
  <c r="BT18" i="6" s="1"/>
  <c r="BT46" i="6"/>
  <c r="BT19" i="6" s="1"/>
  <c r="BT47" i="6"/>
  <c r="BT20" i="6" s="1"/>
  <c r="BT48" i="6"/>
  <c r="BT21" i="6" s="1"/>
  <c r="BT49" i="6"/>
  <c r="BT22" i="6" s="1"/>
  <c r="BT50" i="6"/>
  <c r="BT23" i="6" s="1"/>
  <c r="BT51" i="6"/>
  <c r="BT24" i="6" s="1"/>
  <c r="BT52" i="6"/>
  <c r="BT25" i="6" s="1"/>
  <c r="BT53" i="6"/>
  <c r="BT26" i="6" s="1"/>
  <c r="BT54" i="6"/>
  <c r="BT27" i="6" s="1"/>
  <c r="BT55" i="6"/>
  <c r="BT28" i="6" s="1"/>
  <c r="BT56" i="6"/>
  <c r="BT29" i="6" s="1"/>
  <c r="AK64" i="5"/>
  <c r="AO63" i="5"/>
  <c r="D78" i="5"/>
  <c r="AG84" i="5"/>
  <c r="AC65" i="5"/>
  <c r="C79" i="5" s="1"/>
  <c r="E79" i="5" s="1"/>
  <c r="BV9" i="6" l="1"/>
  <c r="BV10" i="6" s="1"/>
  <c r="BU38" i="6"/>
  <c r="BU11" i="6" s="1"/>
  <c r="BU39" i="6"/>
  <c r="BU12" i="6" s="1"/>
  <c r="BU40" i="6"/>
  <c r="BU13" i="6" s="1"/>
  <c r="BU41" i="6"/>
  <c r="BU14" i="6" s="1"/>
  <c r="BU42" i="6"/>
  <c r="BU15" i="6" s="1"/>
  <c r="BU43" i="6"/>
  <c r="BU16" i="6" s="1"/>
  <c r="BU44" i="6"/>
  <c r="BU17" i="6" s="1"/>
  <c r="BU45" i="6"/>
  <c r="BU18" i="6" s="1"/>
  <c r="BU46" i="6"/>
  <c r="BU19" i="6" s="1"/>
  <c r="BU47" i="6"/>
  <c r="BU20" i="6" s="1"/>
  <c r="BU48" i="6"/>
  <c r="BU21" i="6" s="1"/>
  <c r="BU49" i="6"/>
  <c r="BU22" i="6" s="1"/>
  <c r="BU50" i="6"/>
  <c r="BU23" i="6" s="1"/>
  <c r="BU51" i="6"/>
  <c r="BU24" i="6" s="1"/>
  <c r="BU52" i="6"/>
  <c r="BU25" i="6" s="1"/>
  <c r="BU53" i="6"/>
  <c r="BU26" i="6" s="1"/>
  <c r="BU54" i="6"/>
  <c r="BU27" i="6" s="1"/>
  <c r="BU55" i="6"/>
  <c r="BU28" i="6" s="1"/>
  <c r="BU56" i="6"/>
  <c r="BU29" i="6" s="1"/>
  <c r="AK65" i="5"/>
  <c r="AO64" i="5"/>
  <c r="D79" i="5"/>
  <c r="AC66" i="5"/>
  <c r="C80" i="5" s="1"/>
  <c r="E80" i="5" s="1"/>
  <c r="AG85" i="5"/>
  <c r="BW9" i="6" l="1"/>
  <c r="BW10" i="6" s="1"/>
  <c r="BV38" i="6"/>
  <c r="BV11" i="6" s="1"/>
  <c r="BV39" i="6"/>
  <c r="BV12" i="6" s="1"/>
  <c r="BV40" i="6"/>
  <c r="BV13" i="6" s="1"/>
  <c r="BV41" i="6"/>
  <c r="BV14" i="6" s="1"/>
  <c r="BV42" i="6"/>
  <c r="BV15" i="6" s="1"/>
  <c r="BV43" i="6"/>
  <c r="BV16" i="6" s="1"/>
  <c r="BV44" i="6"/>
  <c r="BV17" i="6" s="1"/>
  <c r="BV45" i="6"/>
  <c r="BV18" i="6" s="1"/>
  <c r="BV46" i="6"/>
  <c r="BV19" i="6" s="1"/>
  <c r="BV47" i="6"/>
  <c r="BV20" i="6" s="1"/>
  <c r="BV48" i="6"/>
  <c r="BV21" i="6" s="1"/>
  <c r="BV49" i="6"/>
  <c r="BV22" i="6" s="1"/>
  <c r="BV50" i="6"/>
  <c r="BV23" i="6" s="1"/>
  <c r="BV51" i="6"/>
  <c r="BV24" i="6" s="1"/>
  <c r="BV52" i="6"/>
  <c r="BV25" i="6" s="1"/>
  <c r="BV53" i="6"/>
  <c r="BV26" i="6" s="1"/>
  <c r="BV54" i="6"/>
  <c r="BV27" i="6" s="1"/>
  <c r="BV55" i="6"/>
  <c r="BV28" i="6" s="1"/>
  <c r="BV56" i="6"/>
  <c r="BV29" i="6" s="1"/>
  <c r="AK66" i="5"/>
  <c r="AO65" i="5"/>
  <c r="D80" i="5"/>
  <c r="AG86" i="5"/>
  <c r="AC67" i="5"/>
  <c r="C81" i="5" s="1"/>
  <c r="E81" i="5" s="1"/>
  <c r="BX9" i="6" l="1"/>
  <c r="BX10" i="6" s="1"/>
  <c r="BW38" i="6"/>
  <c r="BW11" i="6" s="1"/>
  <c r="BW39" i="6"/>
  <c r="BW12" i="6" s="1"/>
  <c r="BW40" i="6"/>
  <c r="BW13" i="6" s="1"/>
  <c r="BW41" i="6"/>
  <c r="BW14" i="6" s="1"/>
  <c r="BW42" i="6"/>
  <c r="BW15" i="6" s="1"/>
  <c r="BW43" i="6"/>
  <c r="BW16" i="6" s="1"/>
  <c r="BW44" i="6"/>
  <c r="BW17" i="6" s="1"/>
  <c r="BW45" i="6"/>
  <c r="BW18" i="6" s="1"/>
  <c r="BW46" i="6"/>
  <c r="BW19" i="6" s="1"/>
  <c r="BW47" i="6"/>
  <c r="BW20" i="6" s="1"/>
  <c r="BW48" i="6"/>
  <c r="BW21" i="6" s="1"/>
  <c r="BW49" i="6"/>
  <c r="BW22" i="6" s="1"/>
  <c r="BW50" i="6"/>
  <c r="BW23" i="6" s="1"/>
  <c r="BW51" i="6"/>
  <c r="BW24" i="6" s="1"/>
  <c r="BW52" i="6"/>
  <c r="BW25" i="6" s="1"/>
  <c r="BW53" i="6"/>
  <c r="BW26" i="6" s="1"/>
  <c r="BW54" i="6"/>
  <c r="BW27" i="6" s="1"/>
  <c r="BW55" i="6"/>
  <c r="BW28" i="6" s="1"/>
  <c r="BW56" i="6"/>
  <c r="BW29" i="6" s="1"/>
  <c r="AK67" i="5"/>
  <c r="AO66" i="5"/>
  <c r="D81" i="5"/>
  <c r="AC68" i="5"/>
  <c r="C82" i="5" s="1"/>
  <c r="E82" i="5" s="1"/>
  <c r="AG87" i="5"/>
  <c r="BY9" i="6" l="1"/>
  <c r="BY10" i="6" s="1"/>
  <c r="BX38" i="6"/>
  <c r="BX11" i="6" s="1"/>
  <c r="BX39" i="6"/>
  <c r="BX12" i="6" s="1"/>
  <c r="BX40" i="6"/>
  <c r="BX13" i="6" s="1"/>
  <c r="BX41" i="6"/>
  <c r="BX14" i="6" s="1"/>
  <c r="BX42" i="6"/>
  <c r="BX15" i="6" s="1"/>
  <c r="BX43" i="6"/>
  <c r="BX16" i="6" s="1"/>
  <c r="BX44" i="6"/>
  <c r="BX17" i="6" s="1"/>
  <c r="BX45" i="6"/>
  <c r="BX18" i="6" s="1"/>
  <c r="BX46" i="6"/>
  <c r="BX19" i="6" s="1"/>
  <c r="BX47" i="6"/>
  <c r="BX20" i="6" s="1"/>
  <c r="BX48" i="6"/>
  <c r="BX21" i="6" s="1"/>
  <c r="BX49" i="6"/>
  <c r="BX22" i="6" s="1"/>
  <c r="BX50" i="6"/>
  <c r="BX23" i="6" s="1"/>
  <c r="BX51" i="6"/>
  <c r="BX24" i="6" s="1"/>
  <c r="BX52" i="6"/>
  <c r="BX25" i="6" s="1"/>
  <c r="BX53" i="6"/>
  <c r="BX26" i="6" s="1"/>
  <c r="BX54" i="6"/>
  <c r="BX27" i="6" s="1"/>
  <c r="BX55" i="6"/>
  <c r="BX28" i="6" s="1"/>
  <c r="BX56" i="6"/>
  <c r="BX29" i="6" s="1"/>
  <c r="AK68" i="5"/>
  <c r="AO67" i="5"/>
  <c r="D82" i="5"/>
  <c r="AG88" i="5"/>
  <c r="AC69" i="5"/>
  <c r="C83" i="5" s="1"/>
  <c r="E83" i="5" s="1"/>
  <c r="BZ9" i="6" l="1"/>
  <c r="BZ10" i="6" s="1"/>
  <c r="BY38" i="6"/>
  <c r="BY11" i="6" s="1"/>
  <c r="BY39" i="6"/>
  <c r="BY12" i="6" s="1"/>
  <c r="BY40" i="6"/>
  <c r="BY13" i="6" s="1"/>
  <c r="BY41" i="6"/>
  <c r="BY14" i="6" s="1"/>
  <c r="BY42" i="6"/>
  <c r="BY15" i="6" s="1"/>
  <c r="BY43" i="6"/>
  <c r="BY16" i="6" s="1"/>
  <c r="BY44" i="6"/>
  <c r="BY17" i="6" s="1"/>
  <c r="BY45" i="6"/>
  <c r="BY18" i="6" s="1"/>
  <c r="BY46" i="6"/>
  <c r="BY19" i="6" s="1"/>
  <c r="BY47" i="6"/>
  <c r="BY20" i="6" s="1"/>
  <c r="BY48" i="6"/>
  <c r="BY21" i="6" s="1"/>
  <c r="BY49" i="6"/>
  <c r="BY22" i="6" s="1"/>
  <c r="BY50" i="6"/>
  <c r="BY23" i="6" s="1"/>
  <c r="BY51" i="6"/>
  <c r="BY24" i="6" s="1"/>
  <c r="BY52" i="6"/>
  <c r="BY25" i="6" s="1"/>
  <c r="BY53" i="6"/>
  <c r="BY26" i="6" s="1"/>
  <c r="BY54" i="6"/>
  <c r="BY27" i="6" s="1"/>
  <c r="BY55" i="6"/>
  <c r="BY28" i="6" s="1"/>
  <c r="BY56" i="6"/>
  <c r="BY29" i="6" s="1"/>
  <c r="AK69" i="5"/>
  <c r="AO68" i="5"/>
  <c r="D83" i="5"/>
  <c r="AC70" i="5"/>
  <c r="C84" i="5" s="1"/>
  <c r="E84" i="5" s="1"/>
  <c r="AG89" i="5"/>
  <c r="CA9" i="6" l="1"/>
  <c r="CA10" i="6" s="1"/>
  <c r="BZ38" i="6"/>
  <c r="BZ11" i="6" s="1"/>
  <c r="BZ39" i="6"/>
  <c r="BZ12" i="6" s="1"/>
  <c r="BZ40" i="6"/>
  <c r="BZ13" i="6" s="1"/>
  <c r="BZ41" i="6"/>
  <c r="BZ14" i="6" s="1"/>
  <c r="BZ42" i="6"/>
  <c r="BZ15" i="6" s="1"/>
  <c r="BZ43" i="6"/>
  <c r="BZ16" i="6" s="1"/>
  <c r="BZ44" i="6"/>
  <c r="BZ17" i="6" s="1"/>
  <c r="BZ45" i="6"/>
  <c r="BZ18" i="6" s="1"/>
  <c r="BZ46" i="6"/>
  <c r="BZ19" i="6" s="1"/>
  <c r="BZ47" i="6"/>
  <c r="BZ20" i="6" s="1"/>
  <c r="BZ48" i="6"/>
  <c r="BZ21" i="6" s="1"/>
  <c r="BZ49" i="6"/>
  <c r="BZ22" i="6" s="1"/>
  <c r="BZ50" i="6"/>
  <c r="BZ23" i="6" s="1"/>
  <c r="BZ51" i="6"/>
  <c r="BZ24" i="6" s="1"/>
  <c r="BZ52" i="6"/>
  <c r="BZ25" i="6" s="1"/>
  <c r="BZ53" i="6"/>
  <c r="BZ26" i="6" s="1"/>
  <c r="BZ54" i="6"/>
  <c r="BZ27" i="6" s="1"/>
  <c r="BZ55" i="6"/>
  <c r="BZ28" i="6" s="1"/>
  <c r="BZ56" i="6"/>
  <c r="BZ29" i="6" s="1"/>
  <c r="AK70" i="5"/>
  <c r="AO69" i="5"/>
  <c r="D84" i="5"/>
  <c r="AG90" i="5"/>
  <c r="AC71" i="5"/>
  <c r="C85" i="5" l="1"/>
  <c r="E85" i="5" s="1"/>
  <c r="CB9" i="6"/>
  <c r="CB10" i="6" s="1"/>
  <c r="CA38" i="6"/>
  <c r="CA11" i="6" s="1"/>
  <c r="CA39" i="6"/>
  <c r="CA12" i="6" s="1"/>
  <c r="CA40" i="6"/>
  <c r="CA13" i="6" s="1"/>
  <c r="CA41" i="6"/>
  <c r="CA14" i="6" s="1"/>
  <c r="CA42" i="6"/>
  <c r="CA15" i="6" s="1"/>
  <c r="CA43" i="6"/>
  <c r="CA16" i="6" s="1"/>
  <c r="CA44" i="6"/>
  <c r="CA17" i="6" s="1"/>
  <c r="CA45" i="6"/>
  <c r="CA18" i="6" s="1"/>
  <c r="CA46" i="6"/>
  <c r="CA19" i="6" s="1"/>
  <c r="CA47" i="6"/>
  <c r="CA20" i="6" s="1"/>
  <c r="CA48" i="6"/>
  <c r="CA21" i="6" s="1"/>
  <c r="CA49" i="6"/>
  <c r="CA22" i="6" s="1"/>
  <c r="CA50" i="6"/>
  <c r="CA23" i="6" s="1"/>
  <c r="CA51" i="6"/>
  <c r="CA24" i="6" s="1"/>
  <c r="CA52" i="6"/>
  <c r="CA25" i="6" s="1"/>
  <c r="CA53" i="6"/>
  <c r="CA26" i="6" s="1"/>
  <c r="CA54" i="6"/>
  <c r="CA27" i="6" s="1"/>
  <c r="CA55" i="6"/>
  <c r="CA28" i="6" s="1"/>
  <c r="CA56" i="6"/>
  <c r="CA29" i="6" s="1"/>
  <c r="AK71" i="5"/>
  <c r="AO70" i="5"/>
  <c r="AC72" i="5"/>
  <c r="C86" i="5" s="1"/>
  <c r="E86" i="5" s="1"/>
  <c r="AG91" i="5"/>
  <c r="D85" i="5" l="1"/>
  <c r="CC9" i="6"/>
  <c r="CC10" i="6" s="1"/>
  <c r="CB38" i="6"/>
  <c r="CB11" i="6" s="1"/>
  <c r="CB39" i="6"/>
  <c r="CB12" i="6" s="1"/>
  <c r="CB40" i="6"/>
  <c r="CB13" i="6" s="1"/>
  <c r="CB41" i="6"/>
  <c r="CB14" i="6" s="1"/>
  <c r="CB42" i="6"/>
  <c r="CB15" i="6" s="1"/>
  <c r="CB43" i="6"/>
  <c r="CB16" i="6" s="1"/>
  <c r="CB44" i="6"/>
  <c r="CB17" i="6" s="1"/>
  <c r="CB45" i="6"/>
  <c r="CB18" i="6" s="1"/>
  <c r="CB46" i="6"/>
  <c r="CB19" i="6" s="1"/>
  <c r="CB47" i="6"/>
  <c r="CB20" i="6" s="1"/>
  <c r="CB48" i="6"/>
  <c r="CB21" i="6" s="1"/>
  <c r="CB49" i="6"/>
  <c r="CB22" i="6" s="1"/>
  <c r="CB50" i="6"/>
  <c r="CB23" i="6" s="1"/>
  <c r="CB51" i="6"/>
  <c r="CB24" i="6" s="1"/>
  <c r="CB52" i="6"/>
  <c r="CB25" i="6" s="1"/>
  <c r="CB53" i="6"/>
  <c r="CB26" i="6" s="1"/>
  <c r="CB54" i="6"/>
  <c r="CB27" i="6" s="1"/>
  <c r="CB55" i="6"/>
  <c r="CB28" i="6" s="1"/>
  <c r="CB56" i="6"/>
  <c r="CB29" i="6" s="1"/>
  <c r="AK72" i="5"/>
  <c r="AO71" i="5"/>
  <c r="D86" i="5"/>
  <c r="AG92" i="5"/>
  <c r="AC73" i="5"/>
  <c r="C87" i="5" l="1"/>
  <c r="E87" i="5" s="1"/>
  <c r="CD9" i="6"/>
  <c r="CD10" i="6" s="1"/>
  <c r="CC38" i="6"/>
  <c r="CC11" i="6" s="1"/>
  <c r="CC39" i="6"/>
  <c r="CC12" i="6" s="1"/>
  <c r="CC40" i="6"/>
  <c r="CC13" i="6" s="1"/>
  <c r="CC41" i="6"/>
  <c r="CC14" i="6" s="1"/>
  <c r="CC42" i="6"/>
  <c r="CC15" i="6" s="1"/>
  <c r="CC43" i="6"/>
  <c r="CC16" i="6" s="1"/>
  <c r="CC44" i="6"/>
  <c r="CC17" i="6" s="1"/>
  <c r="CC45" i="6"/>
  <c r="CC18" i="6" s="1"/>
  <c r="CC46" i="6"/>
  <c r="CC19" i="6" s="1"/>
  <c r="CC47" i="6"/>
  <c r="CC20" i="6" s="1"/>
  <c r="CC48" i="6"/>
  <c r="CC21" i="6" s="1"/>
  <c r="CC49" i="6"/>
  <c r="CC22" i="6" s="1"/>
  <c r="CC50" i="6"/>
  <c r="CC23" i="6" s="1"/>
  <c r="CC51" i="6"/>
  <c r="CC24" i="6" s="1"/>
  <c r="CC52" i="6"/>
  <c r="CC25" i="6" s="1"/>
  <c r="CC53" i="6"/>
  <c r="CC26" i="6" s="1"/>
  <c r="CC54" i="6"/>
  <c r="CC27" i="6" s="1"/>
  <c r="CC55" i="6"/>
  <c r="CC28" i="6" s="1"/>
  <c r="CC56" i="6"/>
  <c r="CC29" i="6" s="1"/>
  <c r="AK73" i="5"/>
  <c r="AO72" i="5"/>
  <c r="AC74" i="5"/>
  <c r="C88" i="5" s="1"/>
  <c r="E88" i="5" s="1"/>
  <c r="AG93" i="5"/>
  <c r="D87" i="5" l="1"/>
  <c r="CE9" i="6"/>
  <c r="CE10" i="6" s="1"/>
  <c r="CD38" i="6"/>
  <c r="CD11" i="6" s="1"/>
  <c r="CD39" i="6"/>
  <c r="CD12" i="6" s="1"/>
  <c r="CD40" i="6"/>
  <c r="CD13" i="6" s="1"/>
  <c r="CD41" i="6"/>
  <c r="CD14" i="6" s="1"/>
  <c r="CD42" i="6"/>
  <c r="CD15" i="6" s="1"/>
  <c r="CD43" i="6"/>
  <c r="CD16" i="6" s="1"/>
  <c r="CD44" i="6"/>
  <c r="CD17" i="6" s="1"/>
  <c r="CD45" i="6"/>
  <c r="CD18" i="6" s="1"/>
  <c r="CD46" i="6"/>
  <c r="CD19" i="6" s="1"/>
  <c r="CD47" i="6"/>
  <c r="CD20" i="6" s="1"/>
  <c r="CD48" i="6"/>
  <c r="CD21" i="6" s="1"/>
  <c r="CD49" i="6"/>
  <c r="CD22" i="6" s="1"/>
  <c r="CD50" i="6"/>
  <c r="CD23" i="6" s="1"/>
  <c r="CD51" i="6"/>
  <c r="CD24" i="6" s="1"/>
  <c r="CD52" i="6"/>
  <c r="CD25" i="6" s="1"/>
  <c r="CD53" i="6"/>
  <c r="CD26" i="6" s="1"/>
  <c r="CD54" i="6"/>
  <c r="CD27" i="6" s="1"/>
  <c r="CD55" i="6"/>
  <c r="CD28" i="6" s="1"/>
  <c r="CD56" i="6"/>
  <c r="CD29" i="6" s="1"/>
  <c r="AK74" i="5"/>
  <c r="AO73" i="5"/>
  <c r="D88" i="5"/>
  <c r="AC75" i="5"/>
  <c r="C89" i="5" s="1"/>
  <c r="E89" i="5" s="1"/>
  <c r="AG94" i="5"/>
  <c r="CF9" i="6" l="1"/>
  <c r="CF10" i="6" s="1"/>
  <c r="CE38" i="6"/>
  <c r="CE11" i="6" s="1"/>
  <c r="CE39" i="6"/>
  <c r="CE12" i="6" s="1"/>
  <c r="CE40" i="6"/>
  <c r="CE13" i="6" s="1"/>
  <c r="CE41" i="6"/>
  <c r="CE14" i="6" s="1"/>
  <c r="CE42" i="6"/>
  <c r="CE15" i="6" s="1"/>
  <c r="CE43" i="6"/>
  <c r="CE16" i="6" s="1"/>
  <c r="CE44" i="6"/>
  <c r="CE17" i="6" s="1"/>
  <c r="CE45" i="6"/>
  <c r="CE18" i="6" s="1"/>
  <c r="CE46" i="6"/>
  <c r="CE19" i="6" s="1"/>
  <c r="CE47" i="6"/>
  <c r="CE20" i="6" s="1"/>
  <c r="CE48" i="6"/>
  <c r="CE21" i="6" s="1"/>
  <c r="CE49" i="6"/>
  <c r="CE22" i="6" s="1"/>
  <c r="CE50" i="6"/>
  <c r="CE23" i="6" s="1"/>
  <c r="CE51" i="6"/>
  <c r="CE24" i="6" s="1"/>
  <c r="CE52" i="6"/>
  <c r="CE25" i="6" s="1"/>
  <c r="CE53" i="6"/>
  <c r="CE26" i="6" s="1"/>
  <c r="CE54" i="6"/>
  <c r="CE27" i="6" s="1"/>
  <c r="CE55" i="6"/>
  <c r="CE28" i="6" s="1"/>
  <c r="CE56" i="6"/>
  <c r="CE29" i="6" s="1"/>
  <c r="AK75" i="5"/>
  <c r="AO74" i="5"/>
  <c r="D89" i="5"/>
  <c r="AG95" i="5"/>
  <c r="AC76" i="5"/>
  <c r="C90" i="5" s="1"/>
  <c r="E90" i="5" s="1"/>
  <c r="CG9" i="6" l="1"/>
  <c r="CG10" i="6" s="1"/>
  <c r="CF38" i="6"/>
  <c r="CF11" i="6" s="1"/>
  <c r="CF39" i="6"/>
  <c r="CF12" i="6" s="1"/>
  <c r="CF40" i="6"/>
  <c r="CF13" i="6" s="1"/>
  <c r="CF41" i="6"/>
  <c r="CF14" i="6" s="1"/>
  <c r="CF42" i="6"/>
  <c r="CF15" i="6" s="1"/>
  <c r="CF43" i="6"/>
  <c r="CF16" i="6" s="1"/>
  <c r="CF44" i="6"/>
  <c r="CF17" i="6" s="1"/>
  <c r="CF45" i="6"/>
  <c r="CF18" i="6" s="1"/>
  <c r="CF46" i="6"/>
  <c r="CF19" i="6" s="1"/>
  <c r="CF47" i="6"/>
  <c r="CF20" i="6" s="1"/>
  <c r="CF48" i="6"/>
  <c r="CF21" i="6" s="1"/>
  <c r="CF49" i="6"/>
  <c r="CF22" i="6" s="1"/>
  <c r="CF50" i="6"/>
  <c r="CF23" i="6" s="1"/>
  <c r="CF51" i="6"/>
  <c r="CF24" i="6" s="1"/>
  <c r="CF52" i="6"/>
  <c r="CF25" i="6" s="1"/>
  <c r="CF53" i="6"/>
  <c r="CF26" i="6" s="1"/>
  <c r="CF54" i="6"/>
  <c r="CF27" i="6" s="1"/>
  <c r="CF55" i="6"/>
  <c r="CF28" i="6" s="1"/>
  <c r="CF56" i="6"/>
  <c r="CF29" i="6" s="1"/>
  <c r="AK76" i="5"/>
  <c r="AO75" i="5"/>
  <c r="D90" i="5"/>
  <c r="AC77" i="5"/>
  <c r="AG96" i="5"/>
  <c r="C91" i="5" l="1"/>
  <c r="E91" i="5" s="1"/>
  <c r="CH9" i="6"/>
  <c r="CH10" i="6" s="1"/>
  <c r="CG38" i="6"/>
  <c r="CG11" i="6" s="1"/>
  <c r="CG39" i="6"/>
  <c r="CG12" i="6" s="1"/>
  <c r="CG40" i="6"/>
  <c r="CG13" i="6" s="1"/>
  <c r="CG41" i="6"/>
  <c r="CG14" i="6" s="1"/>
  <c r="CG42" i="6"/>
  <c r="CG15" i="6" s="1"/>
  <c r="CG43" i="6"/>
  <c r="CG16" i="6" s="1"/>
  <c r="CG44" i="6"/>
  <c r="CG17" i="6" s="1"/>
  <c r="CG45" i="6"/>
  <c r="CG18" i="6" s="1"/>
  <c r="CG46" i="6"/>
  <c r="CG19" i="6" s="1"/>
  <c r="CG47" i="6"/>
  <c r="CG20" i="6" s="1"/>
  <c r="CG48" i="6"/>
  <c r="CG21" i="6" s="1"/>
  <c r="CG49" i="6"/>
  <c r="CG22" i="6" s="1"/>
  <c r="CG50" i="6"/>
  <c r="CG23" i="6" s="1"/>
  <c r="CG51" i="6"/>
  <c r="CG24" i="6" s="1"/>
  <c r="CG52" i="6"/>
  <c r="CG25" i="6" s="1"/>
  <c r="CG53" i="6"/>
  <c r="CG26" i="6" s="1"/>
  <c r="CG54" i="6"/>
  <c r="CG27" i="6" s="1"/>
  <c r="CG55" i="6"/>
  <c r="CG28" i="6" s="1"/>
  <c r="CG56" i="6"/>
  <c r="CG29" i="6" s="1"/>
  <c r="AK77" i="5"/>
  <c r="AO76" i="5"/>
  <c r="AI96" i="5"/>
  <c r="AG97" i="5"/>
  <c r="AC78" i="5"/>
  <c r="C92" i="5" s="1"/>
  <c r="E92" i="5" s="1"/>
  <c r="D91" i="5" l="1"/>
  <c r="CI9" i="6"/>
  <c r="CI10" i="6" s="1"/>
  <c r="CH38" i="6"/>
  <c r="CH11" i="6" s="1"/>
  <c r="CH39" i="6"/>
  <c r="CH12" i="6" s="1"/>
  <c r="CH40" i="6"/>
  <c r="CH13" i="6" s="1"/>
  <c r="CH41" i="6"/>
  <c r="CH14" i="6" s="1"/>
  <c r="CH42" i="6"/>
  <c r="CH15" i="6" s="1"/>
  <c r="CH43" i="6"/>
  <c r="CH16" i="6" s="1"/>
  <c r="CH44" i="6"/>
  <c r="CH17" i="6" s="1"/>
  <c r="CH45" i="6"/>
  <c r="CH18" i="6" s="1"/>
  <c r="CH46" i="6"/>
  <c r="CH19" i="6" s="1"/>
  <c r="CH47" i="6"/>
  <c r="CH20" i="6" s="1"/>
  <c r="CH48" i="6"/>
  <c r="CH21" i="6" s="1"/>
  <c r="CH49" i="6"/>
  <c r="CH22" i="6" s="1"/>
  <c r="CH50" i="6"/>
  <c r="CH23" i="6" s="1"/>
  <c r="CH51" i="6"/>
  <c r="CH24" i="6" s="1"/>
  <c r="CH52" i="6"/>
  <c r="CH25" i="6" s="1"/>
  <c r="CH53" i="6"/>
  <c r="CH26" i="6" s="1"/>
  <c r="CH54" i="6"/>
  <c r="CH27" i="6" s="1"/>
  <c r="CH55" i="6"/>
  <c r="CH28" i="6" s="1"/>
  <c r="CH56" i="6"/>
  <c r="CH29" i="6" s="1"/>
  <c r="AK78" i="5"/>
  <c r="AO77" i="5"/>
  <c r="D92" i="5"/>
  <c r="AC79" i="5"/>
  <c r="C93" i="5" s="1"/>
  <c r="E93" i="5" s="1"/>
  <c r="AI97" i="5"/>
  <c r="AG98" i="5"/>
  <c r="CJ9" i="6" l="1"/>
  <c r="CJ10" i="6" s="1"/>
  <c r="CI38" i="6"/>
  <c r="CI11" i="6" s="1"/>
  <c r="CI39" i="6"/>
  <c r="CI12" i="6" s="1"/>
  <c r="CI40" i="6"/>
  <c r="CI13" i="6" s="1"/>
  <c r="CI41" i="6"/>
  <c r="CI14" i="6" s="1"/>
  <c r="CI42" i="6"/>
  <c r="CI15" i="6" s="1"/>
  <c r="CI43" i="6"/>
  <c r="CI16" i="6" s="1"/>
  <c r="CI44" i="6"/>
  <c r="CI17" i="6" s="1"/>
  <c r="CI45" i="6"/>
  <c r="CI18" i="6" s="1"/>
  <c r="CI46" i="6"/>
  <c r="CI19" i="6" s="1"/>
  <c r="CI47" i="6"/>
  <c r="CI20" i="6" s="1"/>
  <c r="CI48" i="6"/>
  <c r="CI21" i="6" s="1"/>
  <c r="CI49" i="6"/>
  <c r="CI22" i="6" s="1"/>
  <c r="CI50" i="6"/>
  <c r="CI23" i="6" s="1"/>
  <c r="CI51" i="6"/>
  <c r="CI24" i="6" s="1"/>
  <c r="CI52" i="6"/>
  <c r="CI25" i="6" s="1"/>
  <c r="CI53" i="6"/>
  <c r="CI26" i="6" s="1"/>
  <c r="CI54" i="6"/>
  <c r="CI27" i="6" s="1"/>
  <c r="CI55" i="6"/>
  <c r="CI28" i="6" s="1"/>
  <c r="CI56" i="6"/>
  <c r="CI29" i="6" s="1"/>
  <c r="AK79" i="5"/>
  <c r="AO78" i="5"/>
  <c r="D93" i="5"/>
  <c r="AI98" i="5"/>
  <c r="AG99" i="5"/>
  <c r="AC80" i="5"/>
  <c r="C94" i="5" s="1"/>
  <c r="E94" i="5" s="1"/>
  <c r="CK9" i="6" l="1"/>
  <c r="CK10" i="6" s="1"/>
  <c r="CJ38" i="6"/>
  <c r="CJ11" i="6" s="1"/>
  <c r="CJ39" i="6"/>
  <c r="CJ12" i="6" s="1"/>
  <c r="CJ40" i="6"/>
  <c r="CJ13" i="6" s="1"/>
  <c r="CJ41" i="6"/>
  <c r="CJ14" i="6" s="1"/>
  <c r="CJ42" i="6"/>
  <c r="CJ15" i="6" s="1"/>
  <c r="CJ43" i="6"/>
  <c r="CJ16" i="6" s="1"/>
  <c r="CJ44" i="6"/>
  <c r="CJ17" i="6" s="1"/>
  <c r="CJ45" i="6"/>
  <c r="CJ18" i="6" s="1"/>
  <c r="CJ46" i="6"/>
  <c r="CJ19" i="6" s="1"/>
  <c r="CJ47" i="6"/>
  <c r="CJ20" i="6" s="1"/>
  <c r="CJ48" i="6"/>
  <c r="CJ21" i="6" s="1"/>
  <c r="CJ49" i="6"/>
  <c r="CJ22" i="6" s="1"/>
  <c r="CJ50" i="6"/>
  <c r="CJ23" i="6" s="1"/>
  <c r="CJ51" i="6"/>
  <c r="CJ24" i="6" s="1"/>
  <c r="CJ52" i="6"/>
  <c r="CJ25" i="6" s="1"/>
  <c r="CJ53" i="6"/>
  <c r="CJ26" i="6" s="1"/>
  <c r="CJ54" i="6"/>
  <c r="CJ27" i="6" s="1"/>
  <c r="CJ55" i="6"/>
  <c r="CJ28" i="6" s="1"/>
  <c r="CJ56" i="6"/>
  <c r="CJ29" i="6" s="1"/>
  <c r="AK80" i="5"/>
  <c r="AO79" i="5"/>
  <c r="D94" i="5"/>
  <c r="AC81" i="5"/>
  <c r="C95" i="5" s="1"/>
  <c r="E95" i="5" s="1"/>
  <c r="AI99" i="5"/>
  <c r="AG100" i="5"/>
  <c r="CL9" i="6" l="1"/>
  <c r="CL10" i="6" s="1"/>
  <c r="CK38" i="6"/>
  <c r="CK11" i="6" s="1"/>
  <c r="CK39" i="6"/>
  <c r="CK12" i="6" s="1"/>
  <c r="CK40" i="6"/>
  <c r="CK13" i="6" s="1"/>
  <c r="CK41" i="6"/>
  <c r="CK14" i="6" s="1"/>
  <c r="CK42" i="6"/>
  <c r="CK15" i="6" s="1"/>
  <c r="CK43" i="6"/>
  <c r="CK16" i="6" s="1"/>
  <c r="CK44" i="6"/>
  <c r="CK17" i="6" s="1"/>
  <c r="CK45" i="6"/>
  <c r="CK18" i="6" s="1"/>
  <c r="CK46" i="6"/>
  <c r="CK19" i="6" s="1"/>
  <c r="CK47" i="6"/>
  <c r="CK20" i="6" s="1"/>
  <c r="CK48" i="6"/>
  <c r="CK21" i="6" s="1"/>
  <c r="CK49" i="6"/>
  <c r="CK22" i="6" s="1"/>
  <c r="CK50" i="6"/>
  <c r="CK23" i="6" s="1"/>
  <c r="CK51" i="6"/>
  <c r="CK24" i="6" s="1"/>
  <c r="CK52" i="6"/>
  <c r="CK25" i="6" s="1"/>
  <c r="CK53" i="6"/>
  <c r="CK26" i="6" s="1"/>
  <c r="CK54" i="6"/>
  <c r="CK27" i="6" s="1"/>
  <c r="CK55" i="6"/>
  <c r="CK28" i="6" s="1"/>
  <c r="CK56" i="6"/>
  <c r="CK29" i="6" s="1"/>
  <c r="AK81" i="5"/>
  <c r="AO80" i="5"/>
  <c r="D95" i="5"/>
  <c r="AC82" i="5"/>
  <c r="C96" i="5" s="1"/>
  <c r="E96" i="5" s="1"/>
  <c r="AI100" i="5"/>
  <c r="AG101" i="5"/>
  <c r="CM9" i="6" l="1"/>
  <c r="CM10" i="6" s="1"/>
  <c r="CL38" i="6"/>
  <c r="CL11" i="6" s="1"/>
  <c r="CL39" i="6"/>
  <c r="CL12" i="6" s="1"/>
  <c r="CL40" i="6"/>
  <c r="CL13" i="6" s="1"/>
  <c r="CL41" i="6"/>
  <c r="CL14" i="6" s="1"/>
  <c r="CL42" i="6"/>
  <c r="CL15" i="6" s="1"/>
  <c r="CL43" i="6"/>
  <c r="CL16" i="6" s="1"/>
  <c r="CL44" i="6"/>
  <c r="CL17" i="6" s="1"/>
  <c r="CL45" i="6"/>
  <c r="CL18" i="6" s="1"/>
  <c r="CL46" i="6"/>
  <c r="CL19" i="6" s="1"/>
  <c r="CL47" i="6"/>
  <c r="CL20" i="6" s="1"/>
  <c r="CL48" i="6"/>
  <c r="CL21" i="6" s="1"/>
  <c r="CL49" i="6"/>
  <c r="CL22" i="6" s="1"/>
  <c r="CL50" i="6"/>
  <c r="CL23" i="6" s="1"/>
  <c r="CL51" i="6"/>
  <c r="CL24" i="6" s="1"/>
  <c r="CL52" i="6"/>
  <c r="CL25" i="6" s="1"/>
  <c r="CL53" i="6"/>
  <c r="CL26" i="6" s="1"/>
  <c r="CL54" i="6"/>
  <c r="CL27" i="6" s="1"/>
  <c r="CL55" i="6"/>
  <c r="CL28" i="6" s="1"/>
  <c r="CL56" i="6"/>
  <c r="CL29" i="6" s="1"/>
  <c r="AK82" i="5"/>
  <c r="AO81" i="5"/>
  <c r="D96" i="5"/>
  <c r="AI101" i="5"/>
  <c r="AG102" i="5"/>
  <c r="AC83" i="5"/>
  <c r="C97" i="5" s="1"/>
  <c r="E97" i="5" s="1"/>
  <c r="CN9" i="6" l="1"/>
  <c r="CN10" i="6" s="1"/>
  <c r="CM38" i="6"/>
  <c r="CM11" i="6" s="1"/>
  <c r="CM39" i="6"/>
  <c r="CM12" i="6" s="1"/>
  <c r="CM40" i="6"/>
  <c r="CM13" i="6" s="1"/>
  <c r="CM41" i="6"/>
  <c r="CM14" i="6" s="1"/>
  <c r="CM42" i="6"/>
  <c r="CM15" i="6" s="1"/>
  <c r="CM43" i="6"/>
  <c r="CM16" i="6" s="1"/>
  <c r="CM44" i="6"/>
  <c r="CM17" i="6" s="1"/>
  <c r="CM45" i="6"/>
  <c r="CM18" i="6" s="1"/>
  <c r="CM46" i="6"/>
  <c r="CM19" i="6" s="1"/>
  <c r="CM47" i="6"/>
  <c r="CM20" i="6" s="1"/>
  <c r="CM48" i="6"/>
  <c r="CM21" i="6" s="1"/>
  <c r="CM49" i="6"/>
  <c r="CM22" i="6" s="1"/>
  <c r="CM50" i="6"/>
  <c r="CM23" i="6" s="1"/>
  <c r="CM51" i="6"/>
  <c r="CM24" i="6" s="1"/>
  <c r="CM52" i="6"/>
  <c r="CM25" i="6" s="1"/>
  <c r="CM53" i="6"/>
  <c r="CM26" i="6" s="1"/>
  <c r="CM54" i="6"/>
  <c r="CM27" i="6" s="1"/>
  <c r="CM55" i="6"/>
  <c r="CM28" i="6" s="1"/>
  <c r="CM56" i="6"/>
  <c r="CM29" i="6" s="1"/>
  <c r="AK83" i="5"/>
  <c r="AO82" i="5"/>
  <c r="D97" i="5"/>
  <c r="AC84" i="5"/>
  <c r="C98" i="5" s="1"/>
  <c r="AI102" i="5"/>
  <c r="AG103" i="5"/>
  <c r="V15" i="5" l="1"/>
  <c r="E98" i="5"/>
  <c r="CO9" i="6"/>
  <c r="CO10" i="6" s="1"/>
  <c r="CN38" i="6"/>
  <c r="CN11" i="6" s="1"/>
  <c r="CN39" i="6"/>
  <c r="CN12" i="6" s="1"/>
  <c r="CN40" i="6"/>
  <c r="CN13" i="6" s="1"/>
  <c r="CN41" i="6"/>
  <c r="CN14" i="6" s="1"/>
  <c r="CN42" i="6"/>
  <c r="CN15" i="6" s="1"/>
  <c r="CN43" i="6"/>
  <c r="CN16" i="6" s="1"/>
  <c r="CN44" i="6"/>
  <c r="CN17" i="6" s="1"/>
  <c r="CN45" i="6"/>
  <c r="CN18" i="6" s="1"/>
  <c r="CN46" i="6"/>
  <c r="CN19" i="6" s="1"/>
  <c r="CN47" i="6"/>
  <c r="CN20" i="6" s="1"/>
  <c r="CN48" i="6"/>
  <c r="CN21" i="6" s="1"/>
  <c r="CN49" i="6"/>
  <c r="CN22" i="6" s="1"/>
  <c r="CN50" i="6"/>
  <c r="CN23" i="6" s="1"/>
  <c r="CN51" i="6"/>
  <c r="CN24" i="6" s="1"/>
  <c r="CN52" i="6"/>
  <c r="CN25" i="6" s="1"/>
  <c r="CN53" i="6"/>
  <c r="CN26" i="6" s="1"/>
  <c r="CN54" i="6"/>
  <c r="CN27" i="6" s="1"/>
  <c r="CN55" i="6"/>
  <c r="CN28" i="6" s="1"/>
  <c r="CN56" i="6"/>
  <c r="CN29" i="6" s="1"/>
  <c r="AK84" i="5"/>
  <c r="AO83" i="5"/>
  <c r="D98" i="5"/>
  <c r="AI103" i="5"/>
  <c r="AG104" i="5"/>
  <c r="AC85" i="5"/>
  <c r="C99" i="5" s="1"/>
  <c r="E99" i="5" s="1"/>
  <c r="I37" i="5" l="1"/>
  <c r="T15" i="5"/>
  <c r="G37" i="5"/>
  <c r="U15" i="5"/>
  <c r="H37" i="5"/>
  <c r="CP9" i="6"/>
  <c r="CP10" i="6" s="1"/>
  <c r="CO38" i="6"/>
  <c r="CO11" i="6" s="1"/>
  <c r="CO39" i="6"/>
  <c r="CO12" i="6" s="1"/>
  <c r="CO40" i="6"/>
  <c r="CO13" i="6" s="1"/>
  <c r="CO41" i="6"/>
  <c r="CO14" i="6" s="1"/>
  <c r="CO42" i="6"/>
  <c r="CO15" i="6" s="1"/>
  <c r="CO43" i="6"/>
  <c r="CO16" i="6" s="1"/>
  <c r="CO44" i="6"/>
  <c r="CO17" i="6" s="1"/>
  <c r="CO45" i="6"/>
  <c r="CO18" i="6" s="1"/>
  <c r="CO46" i="6"/>
  <c r="CO19" i="6" s="1"/>
  <c r="CO47" i="6"/>
  <c r="CO20" i="6" s="1"/>
  <c r="CO48" i="6"/>
  <c r="CO21" i="6" s="1"/>
  <c r="CO49" i="6"/>
  <c r="CO22" i="6" s="1"/>
  <c r="CO50" i="6"/>
  <c r="CO23" i="6" s="1"/>
  <c r="CO51" i="6"/>
  <c r="CO24" i="6" s="1"/>
  <c r="CO52" i="6"/>
  <c r="CO25" i="6" s="1"/>
  <c r="CO53" i="6"/>
  <c r="CO26" i="6" s="1"/>
  <c r="CO54" i="6"/>
  <c r="CO27" i="6" s="1"/>
  <c r="CO55" i="6"/>
  <c r="CO28" i="6" s="1"/>
  <c r="CO56" i="6"/>
  <c r="CO29" i="6" s="1"/>
  <c r="AK85" i="5"/>
  <c r="AO84" i="5"/>
  <c r="D99" i="5"/>
  <c r="AC86" i="5"/>
  <c r="C100" i="5" s="1"/>
  <c r="E100" i="5" s="1"/>
  <c r="AI104" i="5"/>
  <c r="AG105" i="5"/>
  <c r="CQ9" i="6" l="1"/>
  <c r="CQ10" i="6" s="1"/>
  <c r="CP38" i="6"/>
  <c r="CP11" i="6" s="1"/>
  <c r="CP39" i="6"/>
  <c r="CP12" i="6" s="1"/>
  <c r="CP40" i="6"/>
  <c r="CP13" i="6" s="1"/>
  <c r="CP41" i="6"/>
  <c r="CP14" i="6" s="1"/>
  <c r="CP42" i="6"/>
  <c r="CP15" i="6" s="1"/>
  <c r="CP43" i="6"/>
  <c r="CP16" i="6" s="1"/>
  <c r="CP44" i="6"/>
  <c r="CP17" i="6" s="1"/>
  <c r="CP45" i="6"/>
  <c r="CP18" i="6" s="1"/>
  <c r="CP46" i="6"/>
  <c r="CP19" i="6" s="1"/>
  <c r="CP47" i="6"/>
  <c r="CP20" i="6" s="1"/>
  <c r="CP48" i="6"/>
  <c r="CP21" i="6" s="1"/>
  <c r="CP49" i="6"/>
  <c r="CP22" i="6" s="1"/>
  <c r="CP50" i="6"/>
  <c r="CP23" i="6" s="1"/>
  <c r="CP51" i="6"/>
  <c r="CP24" i="6" s="1"/>
  <c r="CP52" i="6"/>
  <c r="CP25" i="6" s="1"/>
  <c r="CP53" i="6"/>
  <c r="CP26" i="6" s="1"/>
  <c r="CP54" i="6"/>
  <c r="CP27" i="6" s="1"/>
  <c r="CP55" i="6"/>
  <c r="CP28" i="6" s="1"/>
  <c r="CP56" i="6"/>
  <c r="CP29" i="6" s="1"/>
  <c r="AK86" i="5"/>
  <c r="AO85" i="5"/>
  <c r="D100" i="5"/>
  <c r="AI105" i="5"/>
  <c r="AG106" i="5"/>
  <c r="AC87" i="5"/>
  <c r="C101" i="5" s="1"/>
  <c r="E101" i="5" s="1"/>
  <c r="CR9" i="6" l="1"/>
  <c r="CQ38" i="6"/>
  <c r="CQ11" i="6" s="1"/>
  <c r="CQ39" i="6"/>
  <c r="CQ12" i="6" s="1"/>
  <c r="CQ40" i="6"/>
  <c r="CQ13" i="6" s="1"/>
  <c r="CQ41" i="6"/>
  <c r="CQ14" i="6" s="1"/>
  <c r="CQ42" i="6"/>
  <c r="CQ15" i="6" s="1"/>
  <c r="CQ43" i="6"/>
  <c r="CQ16" i="6" s="1"/>
  <c r="CQ44" i="6"/>
  <c r="CQ17" i="6" s="1"/>
  <c r="CQ45" i="6"/>
  <c r="CQ18" i="6" s="1"/>
  <c r="CQ46" i="6"/>
  <c r="CQ19" i="6" s="1"/>
  <c r="CQ47" i="6"/>
  <c r="CQ20" i="6" s="1"/>
  <c r="CQ48" i="6"/>
  <c r="CQ21" i="6" s="1"/>
  <c r="CQ49" i="6"/>
  <c r="CQ22" i="6" s="1"/>
  <c r="CQ50" i="6"/>
  <c r="CQ23" i="6" s="1"/>
  <c r="CQ51" i="6"/>
  <c r="CQ24" i="6" s="1"/>
  <c r="CQ52" i="6"/>
  <c r="CQ25" i="6" s="1"/>
  <c r="CQ53" i="6"/>
  <c r="CQ26" i="6" s="1"/>
  <c r="CQ54" i="6"/>
  <c r="CQ27" i="6" s="1"/>
  <c r="CQ55" i="6"/>
  <c r="CQ28" i="6" s="1"/>
  <c r="CQ56" i="6"/>
  <c r="CQ29" i="6" s="1"/>
  <c r="AK87" i="5"/>
  <c r="AO86" i="5"/>
  <c r="D101" i="5"/>
  <c r="AC88" i="5"/>
  <c r="C102" i="5" s="1"/>
  <c r="E102" i="5" s="1"/>
  <c r="AI106" i="5"/>
  <c r="AG107" i="5"/>
  <c r="AI107" i="5" s="1"/>
  <c r="CS9" i="6" l="1"/>
  <c r="CR38" i="6"/>
  <c r="CR11" i="6" s="1"/>
  <c r="CR39" i="6"/>
  <c r="CR12" i="6" s="1"/>
  <c r="CR40" i="6"/>
  <c r="CR13" i="6" s="1"/>
  <c r="CR10" i="6"/>
  <c r="CR41" i="6"/>
  <c r="CR14" i="6" s="1"/>
  <c r="CR42" i="6"/>
  <c r="CR15" i="6" s="1"/>
  <c r="CR43" i="6"/>
  <c r="CR16" i="6" s="1"/>
  <c r="CR44" i="6"/>
  <c r="CR17" i="6" s="1"/>
  <c r="CR45" i="6"/>
  <c r="CR18" i="6" s="1"/>
  <c r="CR46" i="6"/>
  <c r="CR19" i="6" s="1"/>
  <c r="CR47" i="6"/>
  <c r="CR20" i="6" s="1"/>
  <c r="CR48" i="6"/>
  <c r="CR21" i="6" s="1"/>
  <c r="CR49" i="6"/>
  <c r="CR22" i="6" s="1"/>
  <c r="CR50" i="6"/>
  <c r="CR23" i="6" s="1"/>
  <c r="CR51" i="6"/>
  <c r="CR24" i="6" s="1"/>
  <c r="CR52" i="6"/>
  <c r="CR25" i="6" s="1"/>
  <c r="CR53" i="6"/>
  <c r="CR26" i="6" s="1"/>
  <c r="CR54" i="6"/>
  <c r="CR27" i="6" s="1"/>
  <c r="CR55" i="6"/>
  <c r="CR28" i="6" s="1"/>
  <c r="CR56" i="6"/>
  <c r="CR29" i="6" s="1"/>
  <c r="AK88" i="5"/>
  <c r="AO87" i="5"/>
  <c r="D102" i="5"/>
  <c r="AG108" i="5"/>
  <c r="AC89" i="5"/>
  <c r="C103" i="5" s="1"/>
  <c r="D103" i="5" l="1"/>
  <c r="E103" i="5"/>
  <c r="S15" i="5"/>
  <c r="F37" i="5"/>
  <c r="CT9" i="6"/>
  <c r="CS38" i="6"/>
  <c r="CS11" i="6" s="1"/>
  <c r="CS39" i="6"/>
  <c r="CS12" i="6" s="1"/>
  <c r="CS40" i="6"/>
  <c r="CS13" i="6" s="1"/>
  <c r="CS10" i="6"/>
  <c r="CS41" i="6"/>
  <c r="CS14" i="6" s="1"/>
  <c r="CS42" i="6"/>
  <c r="CS15" i="6" s="1"/>
  <c r="CS43" i="6"/>
  <c r="CS16" i="6" s="1"/>
  <c r="CS44" i="6"/>
  <c r="CS17" i="6" s="1"/>
  <c r="CS45" i="6"/>
  <c r="CS18" i="6" s="1"/>
  <c r="CS46" i="6"/>
  <c r="CS19" i="6" s="1"/>
  <c r="CS47" i="6"/>
  <c r="CS20" i="6" s="1"/>
  <c r="CS48" i="6"/>
  <c r="CS21" i="6" s="1"/>
  <c r="CS49" i="6"/>
  <c r="CS22" i="6" s="1"/>
  <c r="CS50" i="6"/>
  <c r="CS23" i="6" s="1"/>
  <c r="CS51" i="6"/>
  <c r="CS24" i="6" s="1"/>
  <c r="CS52" i="6"/>
  <c r="CS25" i="6" s="1"/>
  <c r="CS53" i="6"/>
  <c r="CS26" i="6" s="1"/>
  <c r="CS54" i="6"/>
  <c r="CS27" i="6" s="1"/>
  <c r="CS55" i="6"/>
  <c r="CS28" i="6" s="1"/>
  <c r="CS56" i="6"/>
  <c r="CS29" i="6" s="1"/>
  <c r="AK89" i="5"/>
  <c r="AO88" i="5"/>
  <c r="AG109" i="5"/>
  <c r="AC90" i="5"/>
  <c r="C104" i="5" s="1"/>
  <c r="D104" i="5" l="1"/>
  <c r="E104" i="5"/>
  <c r="CU9" i="6"/>
  <c r="CT38" i="6"/>
  <c r="CT11" i="6" s="1"/>
  <c r="CT39" i="6"/>
  <c r="CT12" i="6" s="1"/>
  <c r="CT40" i="6"/>
  <c r="CT13" i="6" s="1"/>
  <c r="CT41" i="6"/>
  <c r="CT10" i="6"/>
  <c r="CT42" i="6"/>
  <c r="CT15" i="6" s="1"/>
  <c r="CT43" i="6"/>
  <c r="CT16" i="6" s="1"/>
  <c r="CT44" i="6"/>
  <c r="CT17" i="6" s="1"/>
  <c r="CT45" i="6"/>
  <c r="CT18" i="6" s="1"/>
  <c r="CT46" i="6"/>
  <c r="CT19" i="6" s="1"/>
  <c r="CT47" i="6"/>
  <c r="CT20" i="6" s="1"/>
  <c r="CT48" i="6"/>
  <c r="CT21" i="6" s="1"/>
  <c r="CT49" i="6"/>
  <c r="CT22" i="6" s="1"/>
  <c r="CT50" i="6"/>
  <c r="CT23" i="6" s="1"/>
  <c r="CT51" i="6"/>
  <c r="CT24" i="6" s="1"/>
  <c r="CT52" i="6"/>
  <c r="CT25" i="6" s="1"/>
  <c r="CT53" i="6"/>
  <c r="CT26" i="6" s="1"/>
  <c r="CT54" i="6"/>
  <c r="CT27" i="6" s="1"/>
  <c r="CT55" i="6"/>
  <c r="CT28" i="6" s="1"/>
  <c r="CT14" i="6"/>
  <c r="CT56" i="6"/>
  <c r="CT29" i="6" s="1"/>
  <c r="AK90" i="5"/>
  <c r="AO89" i="5"/>
  <c r="AG110" i="5"/>
  <c r="AC91" i="5"/>
  <c r="C105" i="5" s="1"/>
  <c r="D105" i="5" l="1"/>
  <c r="E105" i="5"/>
  <c r="CV9" i="6"/>
  <c r="CU38" i="6"/>
  <c r="CU11" i="6" s="1"/>
  <c r="CU39" i="6"/>
  <c r="CU12" i="6" s="1"/>
  <c r="CU40" i="6"/>
  <c r="CU13" i="6" s="1"/>
  <c r="CU41" i="6"/>
  <c r="CU14" i="6" s="1"/>
  <c r="CU42" i="6"/>
  <c r="CU15" i="6" s="1"/>
  <c r="CU10" i="6"/>
  <c r="CU43" i="6"/>
  <c r="CU16" i="6" s="1"/>
  <c r="CU44" i="6"/>
  <c r="CU17" i="6" s="1"/>
  <c r="CU45" i="6"/>
  <c r="CU18" i="6" s="1"/>
  <c r="CU46" i="6"/>
  <c r="CU19" i="6" s="1"/>
  <c r="CU47" i="6"/>
  <c r="CU20" i="6" s="1"/>
  <c r="CU48" i="6"/>
  <c r="CU21" i="6" s="1"/>
  <c r="CU49" i="6"/>
  <c r="CU22" i="6" s="1"/>
  <c r="CU50" i="6"/>
  <c r="CU23" i="6" s="1"/>
  <c r="CU51" i="6"/>
  <c r="CU24" i="6" s="1"/>
  <c r="CU52" i="6"/>
  <c r="CU25" i="6" s="1"/>
  <c r="CU53" i="6"/>
  <c r="CU26" i="6" s="1"/>
  <c r="CU54" i="6"/>
  <c r="CU27" i="6" s="1"/>
  <c r="CU55" i="6"/>
  <c r="CU28" i="6" s="1"/>
  <c r="CU56" i="6"/>
  <c r="CU29" i="6" s="1"/>
  <c r="AK91" i="5"/>
  <c r="AO90" i="5"/>
  <c r="AG111" i="5"/>
  <c r="AI110" i="5"/>
  <c r="AC92" i="5"/>
  <c r="C106" i="5" s="1"/>
  <c r="R24" i="2"/>
  <c r="S24" i="2"/>
  <c r="T24" i="2"/>
  <c r="U24" i="2"/>
  <c r="V24" i="2"/>
  <c r="W24" i="2"/>
  <c r="X24" i="2"/>
  <c r="Y24" i="2"/>
  <c r="Z24" i="2"/>
  <c r="AA24" i="2"/>
  <c r="R25" i="2"/>
  <c r="S25" i="2"/>
  <c r="T25" i="2"/>
  <c r="U25" i="2"/>
  <c r="V25" i="2"/>
  <c r="W25" i="2"/>
  <c r="X25" i="2"/>
  <c r="Y25" i="2"/>
  <c r="Z25" i="2"/>
  <c r="AA25" i="2"/>
  <c r="R26" i="2"/>
  <c r="S26" i="2"/>
  <c r="T26" i="2"/>
  <c r="U26" i="2"/>
  <c r="V26" i="2"/>
  <c r="W26" i="2"/>
  <c r="X26" i="2"/>
  <c r="Y26" i="2"/>
  <c r="Z26" i="2"/>
  <c r="AA26" i="2"/>
  <c r="R27" i="2"/>
  <c r="S27" i="2"/>
  <c r="T27" i="2"/>
  <c r="U27" i="2"/>
  <c r="V27" i="2"/>
  <c r="W27" i="2"/>
  <c r="X27" i="2"/>
  <c r="Y27" i="2"/>
  <c r="Z27" i="2"/>
  <c r="AA27" i="2"/>
  <c r="R28" i="2"/>
  <c r="S28" i="2"/>
  <c r="T28" i="2"/>
  <c r="U28" i="2"/>
  <c r="V28" i="2"/>
  <c r="W28" i="2"/>
  <c r="X28" i="2"/>
  <c r="Y28" i="2"/>
  <c r="Z28" i="2"/>
  <c r="AA28" i="2"/>
  <c r="R29" i="2"/>
  <c r="S29" i="2"/>
  <c r="T29" i="2"/>
  <c r="U29" i="2"/>
  <c r="V29" i="2"/>
  <c r="W29" i="2"/>
  <c r="X29" i="2"/>
  <c r="Y29" i="2"/>
  <c r="Z29" i="2"/>
  <c r="AA29" i="2"/>
  <c r="R30" i="2"/>
  <c r="S30" i="2"/>
  <c r="T30" i="2"/>
  <c r="U30" i="2"/>
  <c r="V30" i="2"/>
  <c r="W30" i="2"/>
  <c r="X30" i="2"/>
  <c r="Y30" i="2"/>
  <c r="Z30" i="2"/>
  <c r="AA30" i="2"/>
  <c r="R31" i="2"/>
  <c r="S31" i="2"/>
  <c r="T31" i="2"/>
  <c r="U31" i="2"/>
  <c r="V31" i="2"/>
  <c r="W31" i="2"/>
  <c r="X31" i="2"/>
  <c r="Y31" i="2"/>
  <c r="Z31" i="2"/>
  <c r="AA31" i="2"/>
  <c r="R32" i="2"/>
  <c r="S32" i="2"/>
  <c r="T32" i="2"/>
  <c r="U32" i="2"/>
  <c r="V32" i="2"/>
  <c r="W32" i="2"/>
  <c r="X32" i="2"/>
  <c r="Y32" i="2"/>
  <c r="Z32" i="2"/>
  <c r="AA32" i="2"/>
  <c r="R33" i="2"/>
  <c r="S33" i="2"/>
  <c r="T33" i="2"/>
  <c r="U33" i="2"/>
  <c r="V33" i="2"/>
  <c r="W33" i="2"/>
  <c r="X33" i="2"/>
  <c r="Y33" i="2"/>
  <c r="Z33" i="2"/>
  <c r="AA33" i="2"/>
  <c r="R34" i="2"/>
  <c r="S34" i="2"/>
  <c r="T34" i="2"/>
  <c r="U34" i="2"/>
  <c r="V34" i="2"/>
  <c r="W34" i="2"/>
  <c r="X34" i="2"/>
  <c r="Y34" i="2"/>
  <c r="Z34" i="2"/>
  <c r="AA34" i="2"/>
  <c r="R35" i="2"/>
  <c r="S35" i="2"/>
  <c r="T35" i="2"/>
  <c r="U35" i="2"/>
  <c r="V35" i="2"/>
  <c r="W35" i="2"/>
  <c r="X35" i="2"/>
  <c r="Y35" i="2"/>
  <c r="Z35" i="2"/>
  <c r="AA35" i="2"/>
  <c r="R36" i="2"/>
  <c r="S36" i="2"/>
  <c r="T36" i="2"/>
  <c r="U36" i="2"/>
  <c r="V36" i="2"/>
  <c r="W36" i="2"/>
  <c r="X36" i="2"/>
  <c r="Y36" i="2"/>
  <c r="Z36" i="2"/>
  <c r="AA36" i="2"/>
  <c r="R37" i="2"/>
  <c r="S37" i="2"/>
  <c r="T37" i="2"/>
  <c r="U37" i="2"/>
  <c r="V37" i="2"/>
  <c r="W37" i="2"/>
  <c r="X37" i="2"/>
  <c r="Y37" i="2"/>
  <c r="Z37" i="2"/>
  <c r="AA37" i="2"/>
  <c r="R38" i="2"/>
  <c r="S38" i="2"/>
  <c r="T38" i="2"/>
  <c r="U38" i="2"/>
  <c r="V38" i="2"/>
  <c r="W38" i="2"/>
  <c r="X38" i="2"/>
  <c r="Y38" i="2"/>
  <c r="Z38" i="2"/>
  <c r="AA38" i="2"/>
  <c r="R39" i="2"/>
  <c r="S39" i="2"/>
  <c r="T39" i="2"/>
  <c r="U39" i="2"/>
  <c r="V39" i="2"/>
  <c r="W39" i="2"/>
  <c r="X39" i="2"/>
  <c r="Y39" i="2"/>
  <c r="Z39" i="2"/>
  <c r="AA39" i="2"/>
  <c r="R40" i="2"/>
  <c r="S40" i="2"/>
  <c r="T40" i="2"/>
  <c r="U40" i="2"/>
  <c r="V40" i="2"/>
  <c r="W40" i="2"/>
  <c r="X40" i="2"/>
  <c r="Y40" i="2"/>
  <c r="Z40" i="2"/>
  <c r="AA40" i="2"/>
  <c r="R41" i="2"/>
  <c r="S41" i="2"/>
  <c r="T41" i="2"/>
  <c r="U41" i="2"/>
  <c r="V41" i="2"/>
  <c r="W41" i="2"/>
  <c r="X41" i="2"/>
  <c r="Y41" i="2"/>
  <c r="Z41" i="2"/>
  <c r="AA41" i="2"/>
  <c r="R42" i="2"/>
  <c r="S42" i="2"/>
  <c r="T42" i="2"/>
  <c r="U42" i="2"/>
  <c r="V42" i="2"/>
  <c r="W42" i="2"/>
  <c r="X42" i="2"/>
  <c r="Y42" i="2"/>
  <c r="Z42" i="2"/>
  <c r="AA42" i="2"/>
  <c r="R43" i="2"/>
  <c r="S43" i="2"/>
  <c r="T43" i="2"/>
  <c r="U43" i="2"/>
  <c r="V43" i="2"/>
  <c r="W43" i="2"/>
  <c r="X43" i="2"/>
  <c r="Y43" i="2"/>
  <c r="Z43" i="2"/>
  <c r="AA43" i="2"/>
  <c r="R44" i="2"/>
  <c r="S44" i="2"/>
  <c r="T44" i="2"/>
  <c r="U44" i="2"/>
  <c r="V44" i="2"/>
  <c r="W44" i="2"/>
  <c r="X44" i="2"/>
  <c r="Y44" i="2"/>
  <c r="Z44" i="2"/>
  <c r="AA44" i="2"/>
  <c r="R45" i="2"/>
  <c r="S45" i="2"/>
  <c r="T45" i="2"/>
  <c r="U45" i="2"/>
  <c r="V45" i="2"/>
  <c r="W45" i="2"/>
  <c r="X45" i="2"/>
  <c r="Y45" i="2"/>
  <c r="Z45" i="2"/>
  <c r="AA45" i="2"/>
  <c r="R46" i="2"/>
  <c r="S46" i="2"/>
  <c r="T46" i="2"/>
  <c r="U46" i="2"/>
  <c r="V46" i="2"/>
  <c r="W46" i="2"/>
  <c r="X46" i="2"/>
  <c r="Y46" i="2"/>
  <c r="Z46" i="2"/>
  <c r="AA46" i="2"/>
  <c r="R47" i="2"/>
  <c r="S47" i="2"/>
  <c r="T47" i="2"/>
  <c r="U47" i="2"/>
  <c r="V47" i="2"/>
  <c r="W47" i="2"/>
  <c r="X47" i="2"/>
  <c r="Y47" i="2"/>
  <c r="Z47" i="2"/>
  <c r="AA47" i="2"/>
  <c r="R48" i="2"/>
  <c r="S48" i="2"/>
  <c r="T48" i="2"/>
  <c r="U48" i="2"/>
  <c r="V48" i="2"/>
  <c r="W48" i="2"/>
  <c r="X48" i="2"/>
  <c r="Y48" i="2"/>
  <c r="Z48" i="2"/>
  <c r="AA48" i="2"/>
  <c r="R49" i="2"/>
  <c r="S49" i="2"/>
  <c r="T49" i="2"/>
  <c r="U49" i="2"/>
  <c r="V49" i="2"/>
  <c r="W49" i="2"/>
  <c r="X49" i="2"/>
  <c r="Y49" i="2"/>
  <c r="Z49" i="2"/>
  <c r="AA49" i="2"/>
  <c r="R50" i="2"/>
  <c r="S50" i="2"/>
  <c r="T50" i="2"/>
  <c r="U50" i="2"/>
  <c r="V50" i="2"/>
  <c r="W50" i="2"/>
  <c r="X50" i="2"/>
  <c r="Y50" i="2"/>
  <c r="Z50" i="2"/>
  <c r="AA50" i="2"/>
  <c r="R51" i="2"/>
  <c r="S51" i="2"/>
  <c r="T51" i="2"/>
  <c r="U51" i="2"/>
  <c r="V51" i="2"/>
  <c r="W51" i="2"/>
  <c r="X51" i="2"/>
  <c r="Y51" i="2"/>
  <c r="Z51" i="2"/>
  <c r="AA51" i="2"/>
  <c r="R52" i="2"/>
  <c r="S52" i="2"/>
  <c r="T52" i="2"/>
  <c r="U52" i="2"/>
  <c r="V52" i="2"/>
  <c r="W52" i="2"/>
  <c r="X52" i="2"/>
  <c r="Y52" i="2"/>
  <c r="Z52" i="2"/>
  <c r="AA52" i="2"/>
  <c r="R53" i="2"/>
  <c r="S53" i="2"/>
  <c r="T53" i="2"/>
  <c r="U53" i="2"/>
  <c r="V53" i="2"/>
  <c r="W53" i="2"/>
  <c r="X53" i="2"/>
  <c r="Y53" i="2"/>
  <c r="Z53" i="2"/>
  <c r="AA53" i="2"/>
  <c r="R54" i="2"/>
  <c r="S54" i="2"/>
  <c r="T54" i="2"/>
  <c r="U54" i="2"/>
  <c r="V54" i="2"/>
  <c r="W54" i="2"/>
  <c r="X54" i="2"/>
  <c r="Y54" i="2"/>
  <c r="Z54" i="2"/>
  <c r="AA54" i="2"/>
  <c r="R55" i="2"/>
  <c r="S55" i="2"/>
  <c r="T55" i="2"/>
  <c r="U55" i="2"/>
  <c r="V55" i="2"/>
  <c r="W55" i="2"/>
  <c r="X55" i="2"/>
  <c r="Y55" i="2"/>
  <c r="Z55" i="2"/>
  <c r="AA55" i="2"/>
  <c r="R56" i="2"/>
  <c r="S56" i="2"/>
  <c r="T56" i="2"/>
  <c r="U56" i="2"/>
  <c r="V56" i="2"/>
  <c r="W56" i="2"/>
  <c r="X56" i="2"/>
  <c r="Y56" i="2"/>
  <c r="Z56" i="2"/>
  <c r="AA56" i="2"/>
  <c r="R57" i="2"/>
  <c r="S57" i="2"/>
  <c r="T57" i="2"/>
  <c r="U57" i="2"/>
  <c r="V57" i="2"/>
  <c r="W57" i="2"/>
  <c r="X57" i="2"/>
  <c r="Y57" i="2"/>
  <c r="Z57" i="2"/>
  <c r="AA57" i="2"/>
  <c r="R58" i="2"/>
  <c r="S58" i="2"/>
  <c r="T58" i="2"/>
  <c r="U58" i="2"/>
  <c r="V58" i="2"/>
  <c r="W58" i="2"/>
  <c r="X58" i="2"/>
  <c r="Y58" i="2"/>
  <c r="Z58" i="2"/>
  <c r="AA58" i="2"/>
  <c r="R59" i="2"/>
  <c r="S59" i="2"/>
  <c r="T59" i="2"/>
  <c r="U59" i="2"/>
  <c r="V59" i="2"/>
  <c r="W59" i="2"/>
  <c r="X59" i="2"/>
  <c r="Y59" i="2"/>
  <c r="Z59" i="2"/>
  <c r="AA59" i="2"/>
  <c r="R60" i="2"/>
  <c r="S60" i="2"/>
  <c r="T60" i="2"/>
  <c r="U60" i="2"/>
  <c r="V60" i="2"/>
  <c r="W60" i="2"/>
  <c r="X60" i="2"/>
  <c r="Y60" i="2"/>
  <c r="Z60" i="2"/>
  <c r="AA60" i="2"/>
  <c r="R61" i="2"/>
  <c r="S61" i="2"/>
  <c r="T61" i="2"/>
  <c r="U61" i="2"/>
  <c r="V61" i="2"/>
  <c r="W61" i="2"/>
  <c r="X61" i="2"/>
  <c r="Y61" i="2"/>
  <c r="Z61" i="2"/>
  <c r="AA61" i="2"/>
  <c r="R62" i="2"/>
  <c r="S62" i="2"/>
  <c r="T62" i="2"/>
  <c r="U62" i="2"/>
  <c r="V62" i="2"/>
  <c r="W62" i="2"/>
  <c r="X62" i="2"/>
  <c r="Y62" i="2"/>
  <c r="Z62" i="2"/>
  <c r="AA62" i="2"/>
  <c r="R63" i="2"/>
  <c r="S63" i="2"/>
  <c r="T63" i="2"/>
  <c r="U63" i="2"/>
  <c r="V63" i="2"/>
  <c r="W63" i="2"/>
  <c r="X63" i="2"/>
  <c r="Y63" i="2"/>
  <c r="Z63" i="2"/>
  <c r="AA63" i="2"/>
  <c r="R64" i="2"/>
  <c r="S64" i="2"/>
  <c r="T64" i="2"/>
  <c r="U64" i="2"/>
  <c r="V64" i="2"/>
  <c r="W64" i="2"/>
  <c r="X64" i="2"/>
  <c r="Y64" i="2"/>
  <c r="Z64" i="2"/>
  <c r="AA64" i="2"/>
  <c r="R65" i="2"/>
  <c r="S65" i="2"/>
  <c r="T65" i="2"/>
  <c r="U65" i="2"/>
  <c r="V65" i="2"/>
  <c r="W65" i="2"/>
  <c r="X65" i="2"/>
  <c r="Y65" i="2"/>
  <c r="Z65" i="2"/>
  <c r="AA65" i="2"/>
  <c r="R66" i="2"/>
  <c r="S66" i="2"/>
  <c r="T66" i="2"/>
  <c r="U66" i="2"/>
  <c r="V66" i="2"/>
  <c r="W66" i="2"/>
  <c r="X66" i="2"/>
  <c r="Y66" i="2"/>
  <c r="Z66" i="2"/>
  <c r="AA66" i="2"/>
  <c r="R67" i="2"/>
  <c r="S67" i="2"/>
  <c r="T67" i="2"/>
  <c r="U67" i="2"/>
  <c r="V67" i="2"/>
  <c r="W67" i="2"/>
  <c r="X67" i="2"/>
  <c r="Y67" i="2"/>
  <c r="Z67" i="2"/>
  <c r="AA67" i="2"/>
  <c r="R68" i="2"/>
  <c r="S68" i="2"/>
  <c r="T68" i="2"/>
  <c r="U68" i="2"/>
  <c r="V68" i="2"/>
  <c r="W68" i="2"/>
  <c r="X68" i="2"/>
  <c r="Y68" i="2"/>
  <c r="Z68" i="2"/>
  <c r="AA68" i="2"/>
  <c r="R69" i="2"/>
  <c r="S69" i="2"/>
  <c r="T69" i="2"/>
  <c r="U69" i="2"/>
  <c r="V69" i="2"/>
  <c r="W69" i="2"/>
  <c r="X69" i="2"/>
  <c r="Y69" i="2"/>
  <c r="Z69" i="2"/>
  <c r="AA69" i="2"/>
  <c r="R70" i="2"/>
  <c r="S70" i="2"/>
  <c r="T70" i="2"/>
  <c r="U70" i="2"/>
  <c r="V70" i="2"/>
  <c r="W70" i="2"/>
  <c r="X70" i="2"/>
  <c r="Y70" i="2"/>
  <c r="Z70" i="2"/>
  <c r="AA70" i="2"/>
  <c r="R71" i="2"/>
  <c r="S71" i="2"/>
  <c r="T71" i="2"/>
  <c r="U71" i="2"/>
  <c r="V71" i="2"/>
  <c r="W71" i="2"/>
  <c r="X71" i="2"/>
  <c r="Y71" i="2"/>
  <c r="Z71" i="2"/>
  <c r="AA71" i="2"/>
  <c r="R72" i="2"/>
  <c r="S72" i="2"/>
  <c r="T72" i="2"/>
  <c r="U72" i="2"/>
  <c r="V72" i="2"/>
  <c r="W72" i="2"/>
  <c r="X72" i="2"/>
  <c r="Y72" i="2"/>
  <c r="Z72" i="2"/>
  <c r="AA72" i="2"/>
  <c r="R73" i="2"/>
  <c r="S73" i="2"/>
  <c r="T73" i="2"/>
  <c r="U73" i="2"/>
  <c r="V73" i="2"/>
  <c r="W73" i="2"/>
  <c r="X73" i="2"/>
  <c r="Y73" i="2"/>
  <c r="Z73" i="2"/>
  <c r="AA73" i="2"/>
  <c r="R74" i="2"/>
  <c r="S74" i="2"/>
  <c r="T74" i="2"/>
  <c r="U74" i="2"/>
  <c r="V74" i="2"/>
  <c r="W74" i="2"/>
  <c r="X74" i="2"/>
  <c r="Y74" i="2"/>
  <c r="Z74" i="2"/>
  <c r="AA74" i="2"/>
  <c r="R75" i="2"/>
  <c r="S75" i="2"/>
  <c r="T75" i="2"/>
  <c r="U75" i="2"/>
  <c r="V75" i="2"/>
  <c r="W75" i="2"/>
  <c r="X75" i="2"/>
  <c r="Y75" i="2"/>
  <c r="Z75" i="2"/>
  <c r="AA75" i="2"/>
  <c r="R76" i="2"/>
  <c r="S76" i="2"/>
  <c r="T76" i="2"/>
  <c r="U76" i="2"/>
  <c r="V76" i="2"/>
  <c r="W76" i="2"/>
  <c r="X76" i="2"/>
  <c r="Y76" i="2"/>
  <c r="Z76" i="2"/>
  <c r="AA76" i="2"/>
  <c r="R77" i="2"/>
  <c r="S77" i="2"/>
  <c r="T77" i="2"/>
  <c r="U77" i="2"/>
  <c r="V77" i="2"/>
  <c r="W77" i="2"/>
  <c r="X77" i="2"/>
  <c r="Y77" i="2"/>
  <c r="Z77" i="2"/>
  <c r="AA77" i="2"/>
  <c r="R78" i="2"/>
  <c r="S78" i="2"/>
  <c r="T78" i="2"/>
  <c r="U78" i="2"/>
  <c r="V78" i="2"/>
  <c r="W78" i="2"/>
  <c r="X78" i="2"/>
  <c r="Y78" i="2"/>
  <c r="Z78" i="2"/>
  <c r="AA78" i="2"/>
  <c r="R79" i="2"/>
  <c r="S79" i="2"/>
  <c r="T79" i="2"/>
  <c r="U79" i="2"/>
  <c r="V79" i="2"/>
  <c r="W79" i="2"/>
  <c r="X79" i="2"/>
  <c r="Y79" i="2"/>
  <c r="Z79" i="2"/>
  <c r="AA79" i="2"/>
  <c r="R80" i="2"/>
  <c r="S80" i="2"/>
  <c r="T80" i="2"/>
  <c r="U80" i="2"/>
  <c r="V80" i="2"/>
  <c r="W80" i="2"/>
  <c r="X80" i="2"/>
  <c r="Y80" i="2"/>
  <c r="Z80" i="2"/>
  <c r="AA80" i="2"/>
  <c r="R81" i="2"/>
  <c r="S81" i="2"/>
  <c r="T81" i="2"/>
  <c r="U81" i="2"/>
  <c r="V81" i="2"/>
  <c r="W81" i="2"/>
  <c r="X81" i="2"/>
  <c r="Y81" i="2"/>
  <c r="Z81" i="2"/>
  <c r="AA81" i="2"/>
  <c r="R82" i="2"/>
  <c r="S82" i="2"/>
  <c r="T82" i="2"/>
  <c r="U82" i="2"/>
  <c r="V82" i="2"/>
  <c r="W82" i="2"/>
  <c r="X82" i="2"/>
  <c r="Y82" i="2"/>
  <c r="Z82" i="2"/>
  <c r="AA82" i="2"/>
  <c r="R83" i="2"/>
  <c r="S83" i="2"/>
  <c r="T83" i="2"/>
  <c r="U83" i="2"/>
  <c r="V83" i="2"/>
  <c r="W83" i="2"/>
  <c r="X83" i="2"/>
  <c r="Y83" i="2"/>
  <c r="Z83" i="2"/>
  <c r="AA83" i="2"/>
  <c r="R84" i="2"/>
  <c r="S84" i="2"/>
  <c r="T84" i="2"/>
  <c r="U84" i="2"/>
  <c r="V84" i="2"/>
  <c r="W84" i="2"/>
  <c r="X84" i="2"/>
  <c r="Y84" i="2"/>
  <c r="Z84" i="2"/>
  <c r="AA84" i="2"/>
  <c r="R85" i="2"/>
  <c r="S85" i="2"/>
  <c r="T85" i="2"/>
  <c r="U85" i="2"/>
  <c r="V85" i="2"/>
  <c r="W85" i="2"/>
  <c r="X85" i="2"/>
  <c r="Y85" i="2"/>
  <c r="Z85" i="2"/>
  <c r="AA85" i="2"/>
  <c r="R86" i="2"/>
  <c r="S86" i="2"/>
  <c r="T86" i="2"/>
  <c r="U86" i="2"/>
  <c r="V86" i="2"/>
  <c r="W86" i="2"/>
  <c r="X86" i="2"/>
  <c r="Y86" i="2"/>
  <c r="Z86" i="2"/>
  <c r="AA86" i="2"/>
  <c r="R87" i="2"/>
  <c r="S87" i="2"/>
  <c r="T87" i="2"/>
  <c r="U87" i="2"/>
  <c r="V87" i="2"/>
  <c r="W87" i="2"/>
  <c r="X87" i="2"/>
  <c r="Y87" i="2"/>
  <c r="Z87" i="2"/>
  <c r="AA87" i="2"/>
  <c r="R88" i="2"/>
  <c r="S88" i="2"/>
  <c r="T88" i="2"/>
  <c r="U88" i="2"/>
  <c r="V88" i="2"/>
  <c r="W88" i="2"/>
  <c r="X88" i="2"/>
  <c r="Y88" i="2"/>
  <c r="Z88" i="2"/>
  <c r="AA88" i="2"/>
  <c r="R89" i="2"/>
  <c r="S89" i="2"/>
  <c r="T89" i="2"/>
  <c r="U89" i="2"/>
  <c r="V89" i="2"/>
  <c r="W89" i="2"/>
  <c r="X89" i="2"/>
  <c r="Y89" i="2"/>
  <c r="Z89" i="2"/>
  <c r="AA89" i="2"/>
  <c r="R90" i="2"/>
  <c r="S90" i="2"/>
  <c r="T90" i="2"/>
  <c r="U90" i="2"/>
  <c r="V90" i="2"/>
  <c r="W90" i="2"/>
  <c r="X90" i="2"/>
  <c r="Y90" i="2"/>
  <c r="Z90" i="2"/>
  <c r="AA90" i="2"/>
  <c r="R91" i="2"/>
  <c r="S91" i="2"/>
  <c r="T91" i="2"/>
  <c r="U91" i="2"/>
  <c r="V91" i="2"/>
  <c r="W91" i="2"/>
  <c r="X91" i="2"/>
  <c r="Y91" i="2"/>
  <c r="Z91" i="2"/>
  <c r="AA91" i="2"/>
  <c r="R92" i="2"/>
  <c r="S92" i="2"/>
  <c r="T92" i="2"/>
  <c r="U92" i="2"/>
  <c r="V92" i="2"/>
  <c r="W92" i="2"/>
  <c r="X92" i="2"/>
  <c r="Y92" i="2"/>
  <c r="Z92" i="2"/>
  <c r="AA92" i="2"/>
  <c r="R93" i="2"/>
  <c r="S93" i="2"/>
  <c r="T93" i="2"/>
  <c r="U93" i="2"/>
  <c r="V93" i="2"/>
  <c r="W93" i="2"/>
  <c r="X93" i="2"/>
  <c r="Y93" i="2"/>
  <c r="Z93" i="2"/>
  <c r="AA93" i="2"/>
  <c r="R94" i="2"/>
  <c r="S94" i="2"/>
  <c r="T94" i="2"/>
  <c r="U94" i="2"/>
  <c r="V94" i="2"/>
  <c r="W94" i="2"/>
  <c r="X94" i="2"/>
  <c r="Y94" i="2"/>
  <c r="Z94" i="2"/>
  <c r="AA94" i="2"/>
  <c r="R95" i="2"/>
  <c r="S95" i="2"/>
  <c r="T95" i="2"/>
  <c r="U95" i="2"/>
  <c r="V95" i="2"/>
  <c r="W95" i="2"/>
  <c r="X95" i="2"/>
  <c r="Y95" i="2"/>
  <c r="Z95" i="2"/>
  <c r="AA95" i="2"/>
  <c r="R96" i="2"/>
  <c r="S96" i="2"/>
  <c r="T96" i="2"/>
  <c r="U96" i="2"/>
  <c r="V96" i="2"/>
  <c r="W96" i="2"/>
  <c r="X96" i="2"/>
  <c r="Y96" i="2"/>
  <c r="Z96" i="2"/>
  <c r="AA96" i="2"/>
  <c r="R97" i="2"/>
  <c r="S97" i="2"/>
  <c r="T97" i="2"/>
  <c r="U97" i="2"/>
  <c r="V97" i="2"/>
  <c r="W97" i="2"/>
  <c r="X97" i="2"/>
  <c r="Y97" i="2"/>
  <c r="Z97" i="2"/>
  <c r="AA97" i="2"/>
  <c r="R98" i="2"/>
  <c r="S98" i="2"/>
  <c r="T98" i="2"/>
  <c r="U98" i="2"/>
  <c r="V98" i="2"/>
  <c r="W98" i="2"/>
  <c r="X98" i="2"/>
  <c r="Y98" i="2"/>
  <c r="Z98" i="2"/>
  <c r="AA98" i="2"/>
  <c r="R99" i="2"/>
  <c r="S99" i="2"/>
  <c r="T99" i="2"/>
  <c r="U99" i="2"/>
  <c r="V99" i="2"/>
  <c r="W99" i="2"/>
  <c r="X99" i="2"/>
  <c r="Y99" i="2"/>
  <c r="Z99" i="2"/>
  <c r="AA99" i="2"/>
  <c r="R100" i="2"/>
  <c r="S100" i="2"/>
  <c r="T100" i="2"/>
  <c r="U100" i="2"/>
  <c r="V100" i="2"/>
  <c r="W100" i="2"/>
  <c r="X100" i="2"/>
  <c r="Y100" i="2"/>
  <c r="Z100" i="2"/>
  <c r="AA100" i="2"/>
  <c r="R101" i="2"/>
  <c r="S101" i="2"/>
  <c r="T101" i="2"/>
  <c r="U101" i="2"/>
  <c r="V101" i="2"/>
  <c r="W101" i="2"/>
  <c r="X101" i="2"/>
  <c r="Y101" i="2"/>
  <c r="Z101" i="2"/>
  <c r="AA101" i="2"/>
  <c r="R102" i="2"/>
  <c r="S102" i="2"/>
  <c r="T102" i="2"/>
  <c r="U102" i="2"/>
  <c r="V102" i="2"/>
  <c r="W102" i="2"/>
  <c r="X102" i="2"/>
  <c r="Y102" i="2"/>
  <c r="Z102" i="2"/>
  <c r="AA102" i="2"/>
  <c r="R103" i="2"/>
  <c r="S103" i="2"/>
  <c r="T103" i="2"/>
  <c r="U103" i="2"/>
  <c r="V103" i="2"/>
  <c r="W103" i="2"/>
  <c r="X103" i="2"/>
  <c r="Y103" i="2"/>
  <c r="Z103" i="2"/>
  <c r="AA103" i="2"/>
  <c r="R104" i="2"/>
  <c r="S104" i="2"/>
  <c r="T104" i="2"/>
  <c r="U104" i="2"/>
  <c r="V104" i="2"/>
  <c r="W104" i="2"/>
  <c r="X104" i="2"/>
  <c r="Y104" i="2"/>
  <c r="Z104" i="2"/>
  <c r="AA104" i="2"/>
  <c r="R105" i="2"/>
  <c r="S105" i="2"/>
  <c r="T105" i="2"/>
  <c r="U105" i="2"/>
  <c r="V105" i="2"/>
  <c r="W105" i="2"/>
  <c r="X105" i="2"/>
  <c r="Y105" i="2"/>
  <c r="Z105" i="2"/>
  <c r="AA105" i="2"/>
  <c r="R106" i="2"/>
  <c r="S106" i="2"/>
  <c r="T106" i="2"/>
  <c r="U106" i="2"/>
  <c r="V106" i="2"/>
  <c r="W106" i="2"/>
  <c r="X106" i="2"/>
  <c r="Y106" i="2"/>
  <c r="Z106" i="2"/>
  <c r="AA106" i="2"/>
  <c r="R107" i="2"/>
  <c r="S107" i="2"/>
  <c r="T107" i="2"/>
  <c r="U107" i="2"/>
  <c r="V107" i="2"/>
  <c r="W107" i="2"/>
  <c r="X107" i="2"/>
  <c r="Y107" i="2"/>
  <c r="Z107" i="2"/>
  <c r="AA107" i="2"/>
  <c r="R108" i="2"/>
  <c r="S108" i="2"/>
  <c r="T108" i="2"/>
  <c r="U108" i="2"/>
  <c r="V108" i="2"/>
  <c r="W108" i="2"/>
  <c r="X108" i="2"/>
  <c r="Y108" i="2"/>
  <c r="Z108" i="2"/>
  <c r="AA108" i="2"/>
  <c r="R109" i="2"/>
  <c r="S109" i="2"/>
  <c r="T109" i="2"/>
  <c r="U109" i="2"/>
  <c r="V109" i="2"/>
  <c r="W109" i="2"/>
  <c r="X109" i="2"/>
  <c r="Y109" i="2"/>
  <c r="Z109" i="2"/>
  <c r="AA109" i="2"/>
  <c r="R110" i="2"/>
  <c r="S110" i="2"/>
  <c r="T110" i="2"/>
  <c r="U110" i="2"/>
  <c r="V110" i="2"/>
  <c r="W110" i="2"/>
  <c r="X110" i="2"/>
  <c r="Y110" i="2"/>
  <c r="Z110" i="2"/>
  <c r="AA110" i="2"/>
  <c r="R111" i="2"/>
  <c r="S111" i="2"/>
  <c r="T111" i="2"/>
  <c r="U111" i="2"/>
  <c r="V111" i="2"/>
  <c r="W111" i="2"/>
  <c r="X111" i="2"/>
  <c r="Y111" i="2"/>
  <c r="Z111" i="2"/>
  <c r="AA111" i="2"/>
  <c r="R112" i="2"/>
  <c r="S112" i="2"/>
  <c r="T112" i="2"/>
  <c r="U112" i="2"/>
  <c r="V112" i="2"/>
  <c r="W112" i="2"/>
  <c r="X112" i="2"/>
  <c r="Y112" i="2"/>
  <c r="Z112" i="2"/>
  <c r="AA112" i="2"/>
  <c r="R113" i="2"/>
  <c r="S113" i="2"/>
  <c r="T113" i="2"/>
  <c r="U113" i="2"/>
  <c r="V113" i="2"/>
  <c r="W113" i="2"/>
  <c r="X113" i="2"/>
  <c r="Y113" i="2"/>
  <c r="Z113" i="2"/>
  <c r="AA113" i="2"/>
  <c r="R114" i="2"/>
  <c r="S114" i="2"/>
  <c r="T114" i="2"/>
  <c r="U114" i="2"/>
  <c r="V114" i="2"/>
  <c r="W114" i="2"/>
  <c r="X114" i="2"/>
  <c r="Y114" i="2"/>
  <c r="Z114" i="2"/>
  <c r="AA114" i="2"/>
  <c r="R20" i="2"/>
  <c r="S20" i="2"/>
  <c r="T20" i="2"/>
  <c r="U20" i="2"/>
  <c r="V20" i="2"/>
  <c r="W20" i="2"/>
  <c r="X20" i="2"/>
  <c r="Y20" i="2"/>
  <c r="Z20" i="2"/>
  <c r="AA20" i="2"/>
  <c r="R21" i="2"/>
  <c r="S21" i="2"/>
  <c r="T21" i="2"/>
  <c r="U21" i="2"/>
  <c r="V21" i="2"/>
  <c r="W21" i="2"/>
  <c r="X21" i="2"/>
  <c r="Y21" i="2"/>
  <c r="Z21" i="2"/>
  <c r="AA21" i="2"/>
  <c r="R22" i="2"/>
  <c r="S22" i="2"/>
  <c r="T22" i="2"/>
  <c r="U22" i="2"/>
  <c r="V22" i="2"/>
  <c r="W22" i="2"/>
  <c r="X22" i="2"/>
  <c r="Y22" i="2"/>
  <c r="Z22" i="2"/>
  <c r="AA22" i="2"/>
  <c r="R23" i="2"/>
  <c r="S23" i="2"/>
  <c r="T23" i="2"/>
  <c r="U23" i="2"/>
  <c r="V23" i="2"/>
  <c r="W23" i="2"/>
  <c r="X23" i="2"/>
  <c r="Y23" i="2"/>
  <c r="Z23" i="2"/>
  <c r="AA23" i="2"/>
  <c r="T19" i="2"/>
  <c r="U19" i="2"/>
  <c r="V19" i="2"/>
  <c r="W19" i="2"/>
  <c r="X19" i="2"/>
  <c r="Y19" i="2"/>
  <c r="Z19" i="2"/>
  <c r="AA19" i="2"/>
  <c r="S19" i="2"/>
  <c r="R19" i="2"/>
  <c r="D106" i="5" l="1"/>
  <c r="E106" i="5"/>
  <c r="AE114" i="2"/>
  <c r="CW9" i="6"/>
  <c r="CV38" i="6"/>
  <c r="CV11" i="6" s="1"/>
  <c r="CV39" i="6"/>
  <c r="CV12" i="6" s="1"/>
  <c r="CV40" i="6"/>
  <c r="CV13" i="6" s="1"/>
  <c r="CV41" i="6"/>
  <c r="CV14" i="6" s="1"/>
  <c r="CV42" i="6"/>
  <c r="CV15" i="6" s="1"/>
  <c r="CV10" i="6"/>
  <c r="CV43" i="6"/>
  <c r="CV16" i="6" s="1"/>
  <c r="CV44" i="6"/>
  <c r="CV17" i="6" s="1"/>
  <c r="CV45" i="6"/>
  <c r="CV18" i="6" s="1"/>
  <c r="CV46" i="6"/>
  <c r="CV19" i="6" s="1"/>
  <c r="CV47" i="6"/>
  <c r="CV20" i="6" s="1"/>
  <c r="CV48" i="6"/>
  <c r="CV21" i="6" s="1"/>
  <c r="CV49" i="6"/>
  <c r="CV22" i="6" s="1"/>
  <c r="CV50" i="6"/>
  <c r="CV23" i="6" s="1"/>
  <c r="CV51" i="6"/>
  <c r="CV24" i="6" s="1"/>
  <c r="CV52" i="6"/>
  <c r="CV25" i="6" s="1"/>
  <c r="CV53" i="6"/>
  <c r="CV26" i="6" s="1"/>
  <c r="CV54" i="6"/>
  <c r="CV27" i="6" s="1"/>
  <c r="CV55" i="6"/>
  <c r="CV28" i="6" s="1"/>
  <c r="CV56" i="6"/>
  <c r="CV29" i="6" s="1"/>
  <c r="AK92" i="5"/>
  <c r="AO91" i="5"/>
  <c r="AG112" i="5"/>
  <c r="AI111" i="5"/>
  <c r="AC93" i="5"/>
  <c r="C107" i="5" s="1"/>
  <c r="D107" i="5" l="1"/>
  <c r="E107" i="5"/>
  <c r="CX9" i="6"/>
  <c r="CW38" i="6"/>
  <c r="CW11" i="6" s="1"/>
  <c r="CW39" i="6"/>
  <c r="CW12" i="6" s="1"/>
  <c r="CW40" i="6"/>
  <c r="CW13" i="6" s="1"/>
  <c r="CW41" i="6"/>
  <c r="CW14" i="6" s="1"/>
  <c r="CW42" i="6"/>
  <c r="CW15" i="6" s="1"/>
  <c r="CW43" i="6"/>
  <c r="CW16" i="6" s="1"/>
  <c r="CW10" i="6"/>
  <c r="CW44" i="6"/>
  <c r="CW17" i="6" s="1"/>
  <c r="CW45" i="6"/>
  <c r="CW18" i="6" s="1"/>
  <c r="CW46" i="6"/>
  <c r="CW19" i="6" s="1"/>
  <c r="CW47" i="6"/>
  <c r="CW20" i="6" s="1"/>
  <c r="CW48" i="6"/>
  <c r="CW21" i="6" s="1"/>
  <c r="CW49" i="6"/>
  <c r="CW22" i="6" s="1"/>
  <c r="CW50" i="6"/>
  <c r="CW23" i="6" s="1"/>
  <c r="CW51" i="6"/>
  <c r="CW24" i="6" s="1"/>
  <c r="CW52" i="6"/>
  <c r="CW25" i="6" s="1"/>
  <c r="CW53" i="6"/>
  <c r="CW26" i="6" s="1"/>
  <c r="CW54" i="6"/>
  <c r="CW27" i="6" s="1"/>
  <c r="CW55" i="6"/>
  <c r="CW28" i="6" s="1"/>
  <c r="CW56" i="6"/>
  <c r="CW29" i="6" s="1"/>
  <c r="AK93" i="5"/>
  <c r="AO92" i="5"/>
  <c r="AG113" i="5"/>
  <c r="AI112" i="5"/>
  <c r="AC94" i="5"/>
  <c r="C108" i="5" s="1"/>
  <c r="D108" i="5" l="1"/>
  <c r="E108" i="5"/>
  <c r="CY9" i="6"/>
  <c r="CX38" i="6"/>
  <c r="CX11" i="6" s="1"/>
  <c r="CX39" i="6"/>
  <c r="CX12" i="6" s="1"/>
  <c r="CX40" i="6"/>
  <c r="CX13" i="6" s="1"/>
  <c r="CX41" i="6"/>
  <c r="CX14" i="6" s="1"/>
  <c r="CX42" i="6"/>
  <c r="CX15" i="6" s="1"/>
  <c r="CX43" i="6"/>
  <c r="CX16" i="6" s="1"/>
  <c r="CX44" i="6"/>
  <c r="CX17" i="6" s="1"/>
  <c r="CX10" i="6"/>
  <c r="CX45" i="6"/>
  <c r="CX46" i="6"/>
  <c r="CX19" i="6" s="1"/>
  <c r="CX47" i="6"/>
  <c r="CX20" i="6" s="1"/>
  <c r="CX48" i="6"/>
  <c r="CX21" i="6" s="1"/>
  <c r="CX49" i="6"/>
  <c r="CX22" i="6" s="1"/>
  <c r="CX50" i="6"/>
  <c r="CX23" i="6" s="1"/>
  <c r="CX51" i="6"/>
  <c r="CX24" i="6" s="1"/>
  <c r="CX52" i="6"/>
  <c r="CX25" i="6" s="1"/>
  <c r="CX53" i="6"/>
  <c r="CX26" i="6" s="1"/>
  <c r="CX54" i="6"/>
  <c r="CX27" i="6" s="1"/>
  <c r="CX55" i="6"/>
  <c r="CX28" i="6" s="1"/>
  <c r="CX56" i="6"/>
  <c r="CX29" i="6" s="1"/>
  <c r="CX18" i="6"/>
  <c r="AK94" i="5"/>
  <c r="AO93" i="5"/>
  <c r="AG114" i="5"/>
  <c r="AI113" i="5"/>
  <c r="AC95" i="5"/>
  <c r="C109" i="5" s="1"/>
  <c r="D109" i="5" l="1"/>
  <c r="E109" i="5"/>
  <c r="CY38" i="6"/>
  <c r="CY11" i="6" s="1"/>
  <c r="CY39" i="6"/>
  <c r="CY12" i="6" s="1"/>
  <c r="CY40" i="6"/>
  <c r="CY13" i="6" s="1"/>
  <c r="CY41" i="6"/>
  <c r="CY14" i="6" s="1"/>
  <c r="CY42" i="6"/>
  <c r="CY15" i="6" s="1"/>
  <c r="CY43" i="6"/>
  <c r="CY16" i="6" s="1"/>
  <c r="CY44" i="6"/>
  <c r="CY17" i="6" s="1"/>
  <c r="CY45" i="6"/>
  <c r="CY18" i="6" s="1"/>
  <c r="CY46" i="6"/>
  <c r="CY19" i="6" s="1"/>
  <c r="CY47" i="6"/>
  <c r="CY20" i="6" s="1"/>
  <c r="CY48" i="6"/>
  <c r="CY21" i="6" s="1"/>
  <c r="CY49" i="6"/>
  <c r="CY22" i="6" s="1"/>
  <c r="CY50" i="6"/>
  <c r="CY23" i="6" s="1"/>
  <c r="CY51" i="6"/>
  <c r="CY24" i="6" s="1"/>
  <c r="CY52" i="6"/>
  <c r="CY25" i="6" s="1"/>
  <c r="CY53" i="6"/>
  <c r="CY26" i="6" s="1"/>
  <c r="CY54" i="6"/>
  <c r="CY27" i="6" s="1"/>
  <c r="CY55" i="6"/>
  <c r="CY28" i="6" s="1"/>
  <c r="CY56" i="6"/>
  <c r="CY29" i="6" s="1"/>
  <c r="CZ9" i="6"/>
  <c r="CY10" i="6"/>
  <c r="AK95" i="5"/>
  <c r="AO94" i="5"/>
  <c r="AG115" i="5"/>
  <c r="AI114" i="5"/>
  <c r="AD32" i="5"/>
  <c r="AH32" i="5" s="1"/>
  <c r="AC96" i="5"/>
  <c r="C110" i="5" s="1"/>
  <c r="D110" i="5" l="1"/>
  <c r="E110" i="5"/>
  <c r="CZ38" i="6"/>
  <c r="CZ11" i="6" s="1"/>
  <c r="CZ39" i="6"/>
  <c r="CZ12" i="6" s="1"/>
  <c r="CZ40" i="6"/>
  <c r="CZ13" i="6" s="1"/>
  <c r="CZ41" i="6"/>
  <c r="CZ14" i="6" s="1"/>
  <c r="CZ42" i="6"/>
  <c r="CZ15" i="6" s="1"/>
  <c r="CZ43" i="6"/>
  <c r="CZ16" i="6" s="1"/>
  <c r="CZ44" i="6"/>
  <c r="CZ17" i="6" s="1"/>
  <c r="CZ45" i="6"/>
  <c r="CZ18" i="6" s="1"/>
  <c r="CZ46" i="6"/>
  <c r="CZ19" i="6" s="1"/>
  <c r="CZ47" i="6"/>
  <c r="CZ20" i="6" s="1"/>
  <c r="CZ48" i="6"/>
  <c r="CZ21" i="6" s="1"/>
  <c r="CZ49" i="6"/>
  <c r="CZ22" i="6" s="1"/>
  <c r="CZ50" i="6"/>
  <c r="CZ23" i="6" s="1"/>
  <c r="CZ51" i="6"/>
  <c r="CZ24" i="6" s="1"/>
  <c r="CZ52" i="6"/>
  <c r="CZ25" i="6" s="1"/>
  <c r="CZ53" i="6"/>
  <c r="CZ26" i="6" s="1"/>
  <c r="CZ54" i="6"/>
  <c r="CZ27" i="6" s="1"/>
  <c r="CZ55" i="6"/>
  <c r="CZ28" i="6" s="1"/>
  <c r="CZ56" i="6"/>
  <c r="CZ29" i="6" s="1"/>
  <c r="DA9" i="6"/>
  <c r="CZ10" i="6"/>
  <c r="AK96" i="5"/>
  <c r="AO95" i="5"/>
  <c r="AG116" i="5"/>
  <c r="AI115" i="5"/>
  <c r="AD37" i="5"/>
  <c r="AH37" i="5" s="1"/>
  <c r="AD40" i="5"/>
  <c r="AH40" i="5" s="1"/>
  <c r="AD26" i="5"/>
  <c r="AH26" i="5" s="1"/>
  <c r="AD34" i="5"/>
  <c r="AH34" i="5" s="1"/>
  <c r="AD38" i="5"/>
  <c r="AH38" i="5" s="1"/>
  <c r="AD43" i="5"/>
  <c r="AH43" i="5" s="1"/>
  <c r="AD36" i="5"/>
  <c r="AH36" i="5" s="1"/>
  <c r="AD25" i="5"/>
  <c r="AH25" i="5" s="1"/>
  <c r="AD33" i="5"/>
  <c r="AH33" i="5" s="1"/>
  <c r="AD24" i="5"/>
  <c r="AH24" i="5" s="1"/>
  <c r="AD30" i="5"/>
  <c r="AH30" i="5" s="1"/>
  <c r="AD42" i="5"/>
  <c r="AH42" i="5" s="1"/>
  <c r="AD31" i="5"/>
  <c r="AH31" i="5" s="1"/>
  <c r="AD27" i="5"/>
  <c r="AH27" i="5" s="1"/>
  <c r="AD41" i="5"/>
  <c r="AH41" i="5" s="1"/>
  <c r="AD29" i="5"/>
  <c r="AH29" i="5" s="1"/>
  <c r="AD28" i="5"/>
  <c r="AH28" i="5" s="1"/>
  <c r="AD39" i="5"/>
  <c r="AH39" i="5" s="1"/>
  <c r="AD35" i="5"/>
  <c r="AH35" i="5" s="1"/>
  <c r="AC97" i="5"/>
  <c r="C111" i="5" s="1"/>
  <c r="AP18" i="2"/>
  <c r="AQ18" i="2"/>
  <c r="AR18" i="2"/>
  <c r="AS18" i="2"/>
  <c r="AT18" i="2"/>
  <c r="AU18" i="2"/>
  <c r="AV18" i="2"/>
  <c r="AW18" i="2"/>
  <c r="AX18" i="2"/>
  <c r="AY18" i="2"/>
  <c r="AP19" i="2"/>
  <c r="AQ19" i="2"/>
  <c r="AR19" i="2"/>
  <c r="AS19" i="2"/>
  <c r="AT19" i="2"/>
  <c r="AU19" i="2"/>
  <c r="AV19" i="2"/>
  <c r="AW19" i="2"/>
  <c r="AX19" i="2"/>
  <c r="AY19" i="2"/>
  <c r="AP20" i="2"/>
  <c r="AQ20" i="2"/>
  <c r="AR20" i="2"/>
  <c r="AS20" i="2"/>
  <c r="AT20" i="2"/>
  <c r="AU20" i="2"/>
  <c r="AV20" i="2"/>
  <c r="AW20" i="2"/>
  <c r="AX20" i="2"/>
  <c r="AY20" i="2"/>
  <c r="AP21" i="2"/>
  <c r="AQ21" i="2"/>
  <c r="AR21" i="2"/>
  <c r="AS21" i="2"/>
  <c r="AT21" i="2"/>
  <c r="AU21" i="2"/>
  <c r="AV21" i="2"/>
  <c r="AW21" i="2"/>
  <c r="AX21" i="2"/>
  <c r="AY21" i="2"/>
  <c r="AP22" i="2"/>
  <c r="AQ22" i="2"/>
  <c r="AR22" i="2"/>
  <c r="AS22" i="2"/>
  <c r="AT22" i="2"/>
  <c r="AU22" i="2"/>
  <c r="AV22" i="2"/>
  <c r="AW22" i="2"/>
  <c r="AX22" i="2"/>
  <c r="AY22" i="2"/>
  <c r="AP23" i="2"/>
  <c r="AQ23" i="2"/>
  <c r="AR23" i="2"/>
  <c r="AS23" i="2"/>
  <c r="AT23" i="2"/>
  <c r="AU23" i="2"/>
  <c r="AV23" i="2"/>
  <c r="AW23" i="2"/>
  <c r="AX23" i="2"/>
  <c r="AY23" i="2"/>
  <c r="AP24" i="2"/>
  <c r="AQ24" i="2"/>
  <c r="AR24" i="2"/>
  <c r="AS24" i="2"/>
  <c r="AT24" i="2"/>
  <c r="AU24" i="2"/>
  <c r="AV24" i="2"/>
  <c r="AW24" i="2"/>
  <c r="AX24" i="2"/>
  <c r="AY24" i="2"/>
  <c r="AP25" i="2"/>
  <c r="AQ25" i="2"/>
  <c r="AR25" i="2"/>
  <c r="AS25" i="2"/>
  <c r="AT25" i="2"/>
  <c r="AU25" i="2"/>
  <c r="AV25" i="2"/>
  <c r="AW25" i="2"/>
  <c r="AX25" i="2"/>
  <c r="AY25" i="2"/>
  <c r="AP26" i="2"/>
  <c r="AQ26" i="2"/>
  <c r="AR26" i="2"/>
  <c r="AS26" i="2"/>
  <c r="AT26" i="2"/>
  <c r="AU26" i="2"/>
  <c r="AV26" i="2"/>
  <c r="AW26" i="2"/>
  <c r="AX26" i="2"/>
  <c r="AY26" i="2"/>
  <c r="AP27" i="2"/>
  <c r="AQ27" i="2"/>
  <c r="AR27" i="2"/>
  <c r="AS27" i="2"/>
  <c r="AT27" i="2"/>
  <c r="AU27" i="2"/>
  <c r="AV27" i="2"/>
  <c r="AW27" i="2"/>
  <c r="AX27" i="2"/>
  <c r="AY27" i="2"/>
  <c r="AP28" i="2"/>
  <c r="AQ28" i="2"/>
  <c r="AR28" i="2"/>
  <c r="AS28" i="2"/>
  <c r="AT28" i="2"/>
  <c r="AU28" i="2"/>
  <c r="AV28" i="2"/>
  <c r="AW28" i="2"/>
  <c r="AX28" i="2"/>
  <c r="AY28" i="2"/>
  <c r="AP29" i="2"/>
  <c r="AQ29" i="2"/>
  <c r="AR29" i="2"/>
  <c r="AS29" i="2"/>
  <c r="AT29" i="2"/>
  <c r="AU29" i="2"/>
  <c r="AV29" i="2"/>
  <c r="AW29" i="2"/>
  <c r="AX29" i="2"/>
  <c r="AY29" i="2"/>
  <c r="AP30" i="2"/>
  <c r="AQ30" i="2"/>
  <c r="AR30" i="2"/>
  <c r="AS30" i="2"/>
  <c r="AT30" i="2"/>
  <c r="AU30" i="2"/>
  <c r="AV30" i="2"/>
  <c r="AW30" i="2"/>
  <c r="AX30" i="2"/>
  <c r="AY30" i="2"/>
  <c r="AP31" i="2"/>
  <c r="AQ31" i="2"/>
  <c r="AR31" i="2"/>
  <c r="AS31" i="2"/>
  <c r="AT31" i="2"/>
  <c r="AU31" i="2"/>
  <c r="AV31" i="2"/>
  <c r="AW31" i="2"/>
  <c r="AX31" i="2"/>
  <c r="AY31" i="2"/>
  <c r="AP32" i="2"/>
  <c r="AQ32" i="2"/>
  <c r="AR32" i="2"/>
  <c r="AS32" i="2"/>
  <c r="AT32" i="2"/>
  <c r="AU32" i="2"/>
  <c r="AV32" i="2"/>
  <c r="AW32" i="2"/>
  <c r="AX32" i="2"/>
  <c r="AY32" i="2"/>
  <c r="AP33" i="2"/>
  <c r="AQ33" i="2"/>
  <c r="AR33" i="2"/>
  <c r="AS33" i="2"/>
  <c r="AT33" i="2"/>
  <c r="AU33" i="2"/>
  <c r="AV33" i="2"/>
  <c r="AW33" i="2"/>
  <c r="AX33" i="2"/>
  <c r="AY33" i="2"/>
  <c r="AP34" i="2"/>
  <c r="AQ34" i="2"/>
  <c r="AR34" i="2"/>
  <c r="AS34" i="2"/>
  <c r="AT34" i="2"/>
  <c r="AU34" i="2"/>
  <c r="AV34" i="2"/>
  <c r="AW34" i="2"/>
  <c r="AX34" i="2"/>
  <c r="AY34" i="2"/>
  <c r="AP35" i="2"/>
  <c r="AQ35" i="2"/>
  <c r="AR35" i="2"/>
  <c r="AS35" i="2"/>
  <c r="AT35" i="2"/>
  <c r="AU35" i="2"/>
  <c r="AV35" i="2"/>
  <c r="AW35" i="2"/>
  <c r="AX35" i="2"/>
  <c r="AY35" i="2"/>
  <c r="AP36" i="2"/>
  <c r="AQ36" i="2"/>
  <c r="AR36" i="2"/>
  <c r="AS36" i="2"/>
  <c r="AT36" i="2"/>
  <c r="AU36" i="2"/>
  <c r="AV36" i="2"/>
  <c r="AW36" i="2"/>
  <c r="AX36" i="2"/>
  <c r="AY36" i="2"/>
  <c r="AP37" i="2"/>
  <c r="AQ37" i="2"/>
  <c r="AR37" i="2"/>
  <c r="AS37" i="2"/>
  <c r="AT37" i="2"/>
  <c r="AU37" i="2"/>
  <c r="AV37" i="2"/>
  <c r="AW37" i="2"/>
  <c r="AX37" i="2"/>
  <c r="AY37" i="2"/>
  <c r="AP38" i="2"/>
  <c r="AQ38" i="2"/>
  <c r="AR38" i="2"/>
  <c r="AS38" i="2"/>
  <c r="AT38" i="2"/>
  <c r="AU38" i="2"/>
  <c r="AV38" i="2"/>
  <c r="AW38" i="2"/>
  <c r="AX38" i="2"/>
  <c r="AY38" i="2"/>
  <c r="AP39" i="2"/>
  <c r="AQ39" i="2"/>
  <c r="AR39" i="2"/>
  <c r="AS39" i="2"/>
  <c r="AT39" i="2"/>
  <c r="AU39" i="2"/>
  <c r="AV39" i="2"/>
  <c r="AW39" i="2"/>
  <c r="AX39" i="2"/>
  <c r="AY39" i="2"/>
  <c r="AP40" i="2"/>
  <c r="AQ40" i="2"/>
  <c r="AR40" i="2"/>
  <c r="AS40" i="2"/>
  <c r="AT40" i="2"/>
  <c r="AU40" i="2"/>
  <c r="AV40" i="2"/>
  <c r="AW40" i="2"/>
  <c r="AX40" i="2"/>
  <c r="AY40" i="2"/>
  <c r="AP41" i="2"/>
  <c r="AQ41" i="2"/>
  <c r="AR41" i="2"/>
  <c r="AS41" i="2"/>
  <c r="AT41" i="2"/>
  <c r="AU41" i="2"/>
  <c r="AV41" i="2"/>
  <c r="AW41" i="2"/>
  <c r="AX41" i="2"/>
  <c r="AY41" i="2"/>
  <c r="AP42" i="2"/>
  <c r="AQ42" i="2"/>
  <c r="AR42" i="2"/>
  <c r="AS42" i="2"/>
  <c r="AT42" i="2"/>
  <c r="AU42" i="2"/>
  <c r="AV42" i="2"/>
  <c r="AW42" i="2"/>
  <c r="AX42" i="2"/>
  <c r="AY42" i="2"/>
  <c r="AP43" i="2"/>
  <c r="AQ43" i="2"/>
  <c r="AR43" i="2"/>
  <c r="AS43" i="2"/>
  <c r="AT43" i="2"/>
  <c r="AU43" i="2"/>
  <c r="AV43" i="2"/>
  <c r="AW43" i="2"/>
  <c r="AX43" i="2"/>
  <c r="AY43" i="2"/>
  <c r="AP44" i="2"/>
  <c r="AQ44" i="2"/>
  <c r="AR44" i="2"/>
  <c r="AS44" i="2"/>
  <c r="AT44" i="2"/>
  <c r="AU44" i="2"/>
  <c r="AV44" i="2"/>
  <c r="AW44" i="2"/>
  <c r="AX44" i="2"/>
  <c r="AY44" i="2"/>
  <c r="AP45" i="2"/>
  <c r="AQ45" i="2"/>
  <c r="AR45" i="2"/>
  <c r="AS45" i="2"/>
  <c r="AT45" i="2"/>
  <c r="AU45" i="2"/>
  <c r="AV45" i="2"/>
  <c r="AW45" i="2"/>
  <c r="AX45" i="2"/>
  <c r="AY45" i="2"/>
  <c r="AP46" i="2"/>
  <c r="AQ46" i="2"/>
  <c r="AR46" i="2"/>
  <c r="AS46" i="2"/>
  <c r="AT46" i="2"/>
  <c r="AU46" i="2"/>
  <c r="AV46" i="2"/>
  <c r="AW46" i="2"/>
  <c r="AX46" i="2"/>
  <c r="AY46" i="2"/>
  <c r="AP47" i="2"/>
  <c r="AQ47" i="2"/>
  <c r="AR47" i="2"/>
  <c r="AS47" i="2"/>
  <c r="AT47" i="2"/>
  <c r="AU47" i="2"/>
  <c r="AV47" i="2"/>
  <c r="AW47" i="2"/>
  <c r="AX47" i="2"/>
  <c r="AY47" i="2"/>
  <c r="AP48" i="2"/>
  <c r="AQ48" i="2"/>
  <c r="AR48" i="2"/>
  <c r="AS48" i="2"/>
  <c r="AT48" i="2"/>
  <c r="AU48" i="2"/>
  <c r="AV48" i="2"/>
  <c r="AW48" i="2"/>
  <c r="AX48" i="2"/>
  <c r="AY48" i="2"/>
  <c r="AP49" i="2"/>
  <c r="AQ49" i="2"/>
  <c r="AR49" i="2"/>
  <c r="AS49" i="2"/>
  <c r="AT49" i="2"/>
  <c r="AU49" i="2"/>
  <c r="AV49" i="2"/>
  <c r="AW49" i="2"/>
  <c r="AX49" i="2"/>
  <c r="AY49" i="2"/>
  <c r="AP50" i="2"/>
  <c r="AQ50" i="2"/>
  <c r="AR50" i="2"/>
  <c r="AS50" i="2"/>
  <c r="AT50" i="2"/>
  <c r="AU50" i="2"/>
  <c r="AV50" i="2"/>
  <c r="AW50" i="2"/>
  <c r="AX50" i="2"/>
  <c r="AY50" i="2"/>
  <c r="AP51" i="2"/>
  <c r="AQ51" i="2"/>
  <c r="AR51" i="2"/>
  <c r="AS51" i="2"/>
  <c r="AT51" i="2"/>
  <c r="AU51" i="2"/>
  <c r="AV51" i="2"/>
  <c r="AW51" i="2"/>
  <c r="AX51" i="2"/>
  <c r="AY51" i="2"/>
  <c r="AP52" i="2"/>
  <c r="AQ52" i="2"/>
  <c r="AR52" i="2"/>
  <c r="AS52" i="2"/>
  <c r="AT52" i="2"/>
  <c r="AU52" i="2"/>
  <c r="AV52" i="2"/>
  <c r="AW52" i="2"/>
  <c r="AX52" i="2"/>
  <c r="AY52" i="2"/>
  <c r="AP53" i="2"/>
  <c r="AQ53" i="2"/>
  <c r="AR53" i="2"/>
  <c r="AS53" i="2"/>
  <c r="AT53" i="2"/>
  <c r="AU53" i="2"/>
  <c r="AV53" i="2"/>
  <c r="AW53" i="2"/>
  <c r="AX53" i="2"/>
  <c r="AY53" i="2"/>
  <c r="AP54" i="2"/>
  <c r="AQ54" i="2"/>
  <c r="AR54" i="2"/>
  <c r="AS54" i="2"/>
  <c r="AT54" i="2"/>
  <c r="AU54" i="2"/>
  <c r="AV54" i="2"/>
  <c r="AW54" i="2"/>
  <c r="AX54" i="2"/>
  <c r="AY54" i="2"/>
  <c r="AP55" i="2"/>
  <c r="AQ55" i="2"/>
  <c r="AR55" i="2"/>
  <c r="AS55" i="2"/>
  <c r="AT55" i="2"/>
  <c r="AU55" i="2"/>
  <c r="AV55" i="2"/>
  <c r="AW55" i="2"/>
  <c r="AX55" i="2"/>
  <c r="AY55" i="2"/>
  <c r="AP56" i="2"/>
  <c r="AQ56" i="2"/>
  <c r="AR56" i="2"/>
  <c r="AS56" i="2"/>
  <c r="AT56" i="2"/>
  <c r="AU56" i="2"/>
  <c r="AV56" i="2"/>
  <c r="AW56" i="2"/>
  <c r="AX56" i="2"/>
  <c r="AY56" i="2"/>
  <c r="AP57" i="2"/>
  <c r="AQ57" i="2"/>
  <c r="AR57" i="2"/>
  <c r="AS57" i="2"/>
  <c r="AT57" i="2"/>
  <c r="AU57" i="2"/>
  <c r="AV57" i="2"/>
  <c r="AW57" i="2"/>
  <c r="AX57" i="2"/>
  <c r="AY57" i="2"/>
  <c r="AP58" i="2"/>
  <c r="AQ58" i="2"/>
  <c r="AR58" i="2"/>
  <c r="AS58" i="2"/>
  <c r="AT58" i="2"/>
  <c r="AU58" i="2"/>
  <c r="AV58" i="2"/>
  <c r="AW58" i="2"/>
  <c r="AX58" i="2"/>
  <c r="AY58" i="2"/>
  <c r="AP59" i="2"/>
  <c r="AQ59" i="2"/>
  <c r="AR59" i="2"/>
  <c r="AS59" i="2"/>
  <c r="AT59" i="2"/>
  <c r="AU59" i="2"/>
  <c r="AV59" i="2"/>
  <c r="AW59" i="2"/>
  <c r="AX59" i="2"/>
  <c r="AY59" i="2"/>
  <c r="AP60" i="2"/>
  <c r="AQ60" i="2"/>
  <c r="AR60" i="2"/>
  <c r="AS60" i="2"/>
  <c r="AT60" i="2"/>
  <c r="AU60" i="2"/>
  <c r="AV60" i="2"/>
  <c r="AW60" i="2"/>
  <c r="AX60" i="2"/>
  <c r="AY60" i="2"/>
  <c r="AP61" i="2"/>
  <c r="AQ61" i="2"/>
  <c r="AR61" i="2"/>
  <c r="AS61" i="2"/>
  <c r="AT61" i="2"/>
  <c r="AU61" i="2"/>
  <c r="AV61" i="2"/>
  <c r="AW61" i="2"/>
  <c r="AX61" i="2"/>
  <c r="AY61" i="2"/>
  <c r="AP62" i="2"/>
  <c r="AQ62" i="2"/>
  <c r="AR62" i="2"/>
  <c r="AS62" i="2"/>
  <c r="AT62" i="2"/>
  <c r="AU62" i="2"/>
  <c r="AV62" i="2"/>
  <c r="AW62" i="2"/>
  <c r="AX62" i="2"/>
  <c r="AY62" i="2"/>
  <c r="AP63" i="2"/>
  <c r="AQ63" i="2"/>
  <c r="AR63" i="2"/>
  <c r="AS63" i="2"/>
  <c r="AT63" i="2"/>
  <c r="AU63" i="2"/>
  <c r="AV63" i="2"/>
  <c r="AW63" i="2"/>
  <c r="AX63" i="2"/>
  <c r="AY63" i="2"/>
  <c r="AP64" i="2"/>
  <c r="AQ64" i="2"/>
  <c r="AR64" i="2"/>
  <c r="AS64" i="2"/>
  <c r="AT64" i="2"/>
  <c r="AU64" i="2"/>
  <c r="AV64" i="2"/>
  <c r="AW64" i="2"/>
  <c r="AX64" i="2"/>
  <c r="AY64" i="2"/>
  <c r="AP65" i="2"/>
  <c r="AQ65" i="2"/>
  <c r="AR65" i="2"/>
  <c r="AS65" i="2"/>
  <c r="AT65" i="2"/>
  <c r="AU65" i="2"/>
  <c r="AV65" i="2"/>
  <c r="AW65" i="2"/>
  <c r="AX65" i="2"/>
  <c r="AY65" i="2"/>
  <c r="AP66" i="2"/>
  <c r="AQ66" i="2"/>
  <c r="AR66" i="2"/>
  <c r="AS66" i="2"/>
  <c r="AT66" i="2"/>
  <c r="AU66" i="2"/>
  <c r="AV66" i="2"/>
  <c r="AW66" i="2"/>
  <c r="AX66" i="2"/>
  <c r="AY66" i="2"/>
  <c r="AP67" i="2"/>
  <c r="AQ67" i="2"/>
  <c r="AR67" i="2"/>
  <c r="AS67" i="2"/>
  <c r="AT67" i="2"/>
  <c r="AU67" i="2"/>
  <c r="AV67" i="2"/>
  <c r="AW67" i="2"/>
  <c r="AX67" i="2"/>
  <c r="AY67" i="2"/>
  <c r="AP68" i="2"/>
  <c r="AQ68" i="2"/>
  <c r="AR68" i="2"/>
  <c r="AS68" i="2"/>
  <c r="AT68" i="2"/>
  <c r="AU68" i="2"/>
  <c r="AV68" i="2"/>
  <c r="AW68" i="2"/>
  <c r="AX68" i="2"/>
  <c r="AY68" i="2"/>
  <c r="AP69" i="2"/>
  <c r="AQ69" i="2"/>
  <c r="AR69" i="2"/>
  <c r="AS69" i="2"/>
  <c r="AT69" i="2"/>
  <c r="AU69" i="2"/>
  <c r="AV69" i="2"/>
  <c r="AW69" i="2"/>
  <c r="AX69" i="2"/>
  <c r="AY69" i="2"/>
  <c r="AP70" i="2"/>
  <c r="AQ70" i="2"/>
  <c r="AR70" i="2"/>
  <c r="AS70" i="2"/>
  <c r="AT70" i="2"/>
  <c r="AU70" i="2"/>
  <c r="AV70" i="2"/>
  <c r="AW70" i="2"/>
  <c r="AX70" i="2"/>
  <c r="AY70" i="2"/>
  <c r="AP71" i="2"/>
  <c r="AQ71" i="2"/>
  <c r="AR71" i="2"/>
  <c r="AS71" i="2"/>
  <c r="AT71" i="2"/>
  <c r="AU71" i="2"/>
  <c r="AV71" i="2"/>
  <c r="AW71" i="2"/>
  <c r="AX71" i="2"/>
  <c r="AY71" i="2"/>
  <c r="AP72" i="2"/>
  <c r="AQ72" i="2"/>
  <c r="AR72" i="2"/>
  <c r="AS72" i="2"/>
  <c r="AT72" i="2"/>
  <c r="AU72" i="2"/>
  <c r="AV72" i="2"/>
  <c r="AW72" i="2"/>
  <c r="AX72" i="2"/>
  <c r="AY72" i="2"/>
  <c r="AP73" i="2"/>
  <c r="AQ73" i="2"/>
  <c r="AR73" i="2"/>
  <c r="AS73" i="2"/>
  <c r="AT73" i="2"/>
  <c r="AU73" i="2"/>
  <c r="AV73" i="2"/>
  <c r="AW73" i="2"/>
  <c r="AX73" i="2"/>
  <c r="AY73" i="2"/>
  <c r="AP74" i="2"/>
  <c r="AQ74" i="2"/>
  <c r="AR74" i="2"/>
  <c r="AS74" i="2"/>
  <c r="AT74" i="2"/>
  <c r="AU74" i="2"/>
  <c r="AV74" i="2"/>
  <c r="AW74" i="2"/>
  <c r="AX74" i="2"/>
  <c r="AY74" i="2"/>
  <c r="AP75" i="2"/>
  <c r="AQ75" i="2"/>
  <c r="AR75" i="2"/>
  <c r="AS75" i="2"/>
  <c r="AT75" i="2"/>
  <c r="AU75" i="2"/>
  <c r="AV75" i="2"/>
  <c r="AW75" i="2"/>
  <c r="AX75" i="2"/>
  <c r="AY75" i="2"/>
  <c r="AP76" i="2"/>
  <c r="AQ76" i="2"/>
  <c r="AR76" i="2"/>
  <c r="AS76" i="2"/>
  <c r="AT76" i="2"/>
  <c r="AU76" i="2"/>
  <c r="AV76" i="2"/>
  <c r="AW76" i="2"/>
  <c r="AX76" i="2"/>
  <c r="AY76" i="2"/>
  <c r="AP77" i="2"/>
  <c r="AQ77" i="2"/>
  <c r="AR77" i="2"/>
  <c r="AS77" i="2"/>
  <c r="AT77" i="2"/>
  <c r="AU77" i="2"/>
  <c r="AV77" i="2"/>
  <c r="AW77" i="2"/>
  <c r="AX77" i="2"/>
  <c r="AY77" i="2"/>
  <c r="AP78" i="2"/>
  <c r="AQ78" i="2"/>
  <c r="AR78" i="2"/>
  <c r="AS78" i="2"/>
  <c r="AT78" i="2"/>
  <c r="AU78" i="2"/>
  <c r="AV78" i="2"/>
  <c r="AW78" i="2"/>
  <c r="AX78" i="2"/>
  <c r="AY78" i="2"/>
  <c r="AP79" i="2"/>
  <c r="AQ79" i="2"/>
  <c r="AR79" i="2"/>
  <c r="AS79" i="2"/>
  <c r="AT79" i="2"/>
  <c r="AU79" i="2"/>
  <c r="AV79" i="2"/>
  <c r="AW79" i="2"/>
  <c r="AX79" i="2"/>
  <c r="AY79" i="2"/>
  <c r="AP80" i="2"/>
  <c r="AQ80" i="2"/>
  <c r="AR80" i="2"/>
  <c r="AS80" i="2"/>
  <c r="AT80" i="2"/>
  <c r="AU80" i="2"/>
  <c r="AV80" i="2"/>
  <c r="AW80" i="2"/>
  <c r="AX80" i="2"/>
  <c r="AY80" i="2"/>
  <c r="AP81" i="2"/>
  <c r="AQ81" i="2"/>
  <c r="AR81" i="2"/>
  <c r="AS81" i="2"/>
  <c r="AT81" i="2"/>
  <c r="AU81" i="2"/>
  <c r="AV81" i="2"/>
  <c r="AW81" i="2"/>
  <c r="AX81" i="2"/>
  <c r="AY81" i="2"/>
  <c r="AP82" i="2"/>
  <c r="AQ82" i="2"/>
  <c r="AR82" i="2"/>
  <c r="AS82" i="2"/>
  <c r="AT82" i="2"/>
  <c r="AU82" i="2"/>
  <c r="AV82" i="2"/>
  <c r="AW82" i="2"/>
  <c r="AX82" i="2"/>
  <c r="AY82" i="2"/>
  <c r="AP83" i="2"/>
  <c r="AQ83" i="2"/>
  <c r="AR83" i="2"/>
  <c r="AS83" i="2"/>
  <c r="AT83" i="2"/>
  <c r="AU83" i="2"/>
  <c r="AV83" i="2"/>
  <c r="AW83" i="2"/>
  <c r="AX83" i="2"/>
  <c r="AY83" i="2"/>
  <c r="AP84" i="2"/>
  <c r="AQ84" i="2"/>
  <c r="AR84" i="2"/>
  <c r="AS84" i="2"/>
  <c r="AT84" i="2"/>
  <c r="AU84" i="2"/>
  <c r="AV84" i="2"/>
  <c r="AW84" i="2"/>
  <c r="AX84" i="2"/>
  <c r="AY84" i="2"/>
  <c r="AP85" i="2"/>
  <c r="AQ85" i="2"/>
  <c r="AR85" i="2"/>
  <c r="AS85" i="2"/>
  <c r="AT85" i="2"/>
  <c r="AU85" i="2"/>
  <c r="AV85" i="2"/>
  <c r="AW85" i="2"/>
  <c r="AX85" i="2"/>
  <c r="AY85" i="2"/>
  <c r="AP86" i="2"/>
  <c r="AQ86" i="2"/>
  <c r="AR86" i="2"/>
  <c r="AS86" i="2"/>
  <c r="AT86" i="2"/>
  <c r="AU86" i="2"/>
  <c r="AV86" i="2"/>
  <c r="AW86" i="2"/>
  <c r="AX86" i="2"/>
  <c r="AY86" i="2"/>
  <c r="AP87" i="2"/>
  <c r="AQ87" i="2"/>
  <c r="AR87" i="2"/>
  <c r="AS87" i="2"/>
  <c r="AT87" i="2"/>
  <c r="AU87" i="2"/>
  <c r="AV87" i="2"/>
  <c r="AW87" i="2"/>
  <c r="AX87" i="2"/>
  <c r="AY87" i="2"/>
  <c r="AP88" i="2"/>
  <c r="AQ88" i="2"/>
  <c r="AR88" i="2"/>
  <c r="AS88" i="2"/>
  <c r="AT88" i="2"/>
  <c r="AU88" i="2"/>
  <c r="AV88" i="2"/>
  <c r="AW88" i="2"/>
  <c r="AX88" i="2"/>
  <c r="AY88" i="2"/>
  <c r="AP89" i="2"/>
  <c r="AQ89" i="2"/>
  <c r="AR89" i="2"/>
  <c r="AS89" i="2"/>
  <c r="AT89" i="2"/>
  <c r="AU89" i="2"/>
  <c r="AV89" i="2"/>
  <c r="AW89" i="2"/>
  <c r="AX89" i="2"/>
  <c r="AY89" i="2"/>
  <c r="AP90" i="2"/>
  <c r="AQ90" i="2"/>
  <c r="AR90" i="2"/>
  <c r="AS90" i="2"/>
  <c r="AT90" i="2"/>
  <c r="AU90" i="2"/>
  <c r="AV90" i="2"/>
  <c r="AW90" i="2"/>
  <c r="AX90" i="2"/>
  <c r="AY90" i="2"/>
  <c r="AP91" i="2"/>
  <c r="AQ91" i="2"/>
  <c r="AR91" i="2"/>
  <c r="AS91" i="2"/>
  <c r="AT91" i="2"/>
  <c r="AU91" i="2"/>
  <c r="AV91" i="2"/>
  <c r="AW91" i="2"/>
  <c r="AX91" i="2"/>
  <c r="AY91" i="2"/>
  <c r="AP92" i="2"/>
  <c r="AQ92" i="2"/>
  <c r="AR92" i="2"/>
  <c r="AS92" i="2"/>
  <c r="AT92" i="2"/>
  <c r="AU92" i="2"/>
  <c r="AV92" i="2"/>
  <c r="AW92" i="2"/>
  <c r="AX92" i="2"/>
  <c r="AY92" i="2"/>
  <c r="AP93" i="2"/>
  <c r="AQ93" i="2"/>
  <c r="AR93" i="2"/>
  <c r="AS93" i="2"/>
  <c r="AT93" i="2"/>
  <c r="AU93" i="2"/>
  <c r="AV93" i="2"/>
  <c r="AW93" i="2"/>
  <c r="AX93" i="2"/>
  <c r="AY93" i="2"/>
  <c r="AP94" i="2"/>
  <c r="AQ94" i="2"/>
  <c r="AR94" i="2"/>
  <c r="AS94" i="2"/>
  <c r="AT94" i="2"/>
  <c r="AU94" i="2"/>
  <c r="AV94" i="2"/>
  <c r="AW94" i="2"/>
  <c r="AX94" i="2"/>
  <c r="AY94" i="2"/>
  <c r="AP95" i="2"/>
  <c r="AQ95" i="2"/>
  <c r="AR95" i="2"/>
  <c r="AS95" i="2"/>
  <c r="AT95" i="2"/>
  <c r="AU95" i="2"/>
  <c r="AV95" i="2"/>
  <c r="AW95" i="2"/>
  <c r="AX95" i="2"/>
  <c r="AY95" i="2"/>
  <c r="AP96" i="2"/>
  <c r="AQ96" i="2"/>
  <c r="AR96" i="2"/>
  <c r="AS96" i="2"/>
  <c r="AT96" i="2"/>
  <c r="AU96" i="2"/>
  <c r="AV96" i="2"/>
  <c r="AW96" i="2"/>
  <c r="AX96" i="2"/>
  <c r="AY96" i="2"/>
  <c r="AP97" i="2"/>
  <c r="AQ97" i="2"/>
  <c r="AR97" i="2"/>
  <c r="AS97" i="2"/>
  <c r="AT97" i="2"/>
  <c r="AU97" i="2"/>
  <c r="AV97" i="2"/>
  <c r="AW97" i="2"/>
  <c r="AX97" i="2"/>
  <c r="AY97" i="2"/>
  <c r="AP98" i="2"/>
  <c r="AQ98" i="2"/>
  <c r="AR98" i="2"/>
  <c r="AS98" i="2"/>
  <c r="AT98" i="2"/>
  <c r="AU98" i="2"/>
  <c r="AV98" i="2"/>
  <c r="AW98" i="2"/>
  <c r="AX98" i="2"/>
  <c r="AY98" i="2"/>
  <c r="AP99" i="2"/>
  <c r="AQ99" i="2"/>
  <c r="AR99" i="2"/>
  <c r="AS99" i="2"/>
  <c r="AT99" i="2"/>
  <c r="AU99" i="2"/>
  <c r="AV99" i="2"/>
  <c r="AW99" i="2"/>
  <c r="AX99" i="2"/>
  <c r="AY99" i="2"/>
  <c r="AP100" i="2"/>
  <c r="AQ100" i="2"/>
  <c r="AR100" i="2"/>
  <c r="AS100" i="2"/>
  <c r="AT100" i="2"/>
  <c r="AU100" i="2"/>
  <c r="AV100" i="2"/>
  <c r="AW100" i="2"/>
  <c r="AX100" i="2"/>
  <c r="AY100" i="2"/>
  <c r="AP101" i="2"/>
  <c r="AQ101" i="2"/>
  <c r="AR101" i="2"/>
  <c r="AS101" i="2"/>
  <c r="AT101" i="2"/>
  <c r="AU101" i="2"/>
  <c r="AV101" i="2"/>
  <c r="AW101" i="2"/>
  <c r="AX101" i="2"/>
  <c r="AY101" i="2"/>
  <c r="AP102" i="2"/>
  <c r="AQ102" i="2"/>
  <c r="AR102" i="2"/>
  <c r="AS102" i="2"/>
  <c r="AT102" i="2"/>
  <c r="AU102" i="2"/>
  <c r="AV102" i="2"/>
  <c r="AW102" i="2"/>
  <c r="AX102" i="2"/>
  <c r="AY102" i="2"/>
  <c r="AP103" i="2"/>
  <c r="AQ103" i="2"/>
  <c r="AR103" i="2"/>
  <c r="AS103" i="2"/>
  <c r="AT103" i="2"/>
  <c r="AU103" i="2"/>
  <c r="AV103" i="2"/>
  <c r="AW103" i="2"/>
  <c r="AX103" i="2"/>
  <c r="AY103" i="2"/>
  <c r="AP104" i="2"/>
  <c r="AQ104" i="2"/>
  <c r="AR104" i="2"/>
  <c r="AS104" i="2"/>
  <c r="AT104" i="2"/>
  <c r="AU104" i="2"/>
  <c r="AV104" i="2"/>
  <c r="AW104" i="2"/>
  <c r="AX104" i="2"/>
  <c r="AY104" i="2"/>
  <c r="AP105" i="2"/>
  <c r="AQ105" i="2"/>
  <c r="AR105" i="2"/>
  <c r="AS105" i="2"/>
  <c r="AT105" i="2"/>
  <c r="AU105" i="2"/>
  <c r="AV105" i="2"/>
  <c r="AW105" i="2"/>
  <c r="AX105" i="2"/>
  <c r="AY105" i="2"/>
  <c r="AP106" i="2"/>
  <c r="AQ106" i="2"/>
  <c r="AR106" i="2"/>
  <c r="AS106" i="2"/>
  <c r="AT106" i="2"/>
  <c r="AU106" i="2"/>
  <c r="AV106" i="2"/>
  <c r="AW106" i="2"/>
  <c r="AX106" i="2"/>
  <c r="AY106" i="2"/>
  <c r="AP107" i="2"/>
  <c r="AQ107" i="2"/>
  <c r="AR107" i="2"/>
  <c r="AS107" i="2"/>
  <c r="AT107" i="2"/>
  <c r="AU107" i="2"/>
  <c r="AV107" i="2"/>
  <c r="AW107" i="2"/>
  <c r="AX107" i="2"/>
  <c r="AY107" i="2"/>
  <c r="AP108" i="2"/>
  <c r="AQ108" i="2"/>
  <c r="AR108" i="2"/>
  <c r="AS108" i="2"/>
  <c r="AT108" i="2"/>
  <c r="AU108" i="2"/>
  <c r="AV108" i="2"/>
  <c r="AW108" i="2"/>
  <c r="AX108" i="2"/>
  <c r="AY108" i="2"/>
  <c r="AP109" i="2"/>
  <c r="AQ109" i="2"/>
  <c r="AR109" i="2"/>
  <c r="AS109" i="2"/>
  <c r="AT109" i="2"/>
  <c r="AU109" i="2"/>
  <c r="AV109" i="2"/>
  <c r="AW109" i="2"/>
  <c r="AX109" i="2"/>
  <c r="AY109" i="2"/>
  <c r="AP110" i="2"/>
  <c r="AQ110" i="2"/>
  <c r="AR110" i="2"/>
  <c r="AS110" i="2"/>
  <c r="AT110" i="2"/>
  <c r="AU110" i="2"/>
  <c r="AV110" i="2"/>
  <c r="AW110" i="2"/>
  <c r="AX110" i="2"/>
  <c r="AY110" i="2"/>
  <c r="AP111" i="2"/>
  <c r="AQ111" i="2"/>
  <c r="AR111" i="2"/>
  <c r="AS111" i="2"/>
  <c r="AT111" i="2"/>
  <c r="AU111" i="2"/>
  <c r="AV111" i="2"/>
  <c r="AW111" i="2"/>
  <c r="AX111" i="2"/>
  <c r="AY111" i="2"/>
  <c r="AP112" i="2"/>
  <c r="AQ112" i="2"/>
  <c r="AR112" i="2"/>
  <c r="AS112" i="2"/>
  <c r="AT112" i="2"/>
  <c r="AU112" i="2"/>
  <c r="AV112" i="2"/>
  <c r="AW112" i="2"/>
  <c r="AX112" i="2"/>
  <c r="AY112" i="2"/>
  <c r="AP113" i="2"/>
  <c r="AQ113" i="2"/>
  <c r="AR113" i="2"/>
  <c r="AS113" i="2"/>
  <c r="AT113" i="2"/>
  <c r="AU113" i="2"/>
  <c r="AV113" i="2"/>
  <c r="AW113" i="2"/>
  <c r="AX113" i="2"/>
  <c r="AY113" i="2"/>
  <c r="AP114" i="2"/>
  <c r="AQ114" i="2"/>
  <c r="AR114" i="2"/>
  <c r="AS114" i="2"/>
  <c r="AT114" i="2"/>
  <c r="AU114" i="2"/>
  <c r="AV114" i="2"/>
  <c r="AW114" i="2"/>
  <c r="AX114" i="2"/>
  <c r="AY114" i="2"/>
  <c r="E49" i="2"/>
  <c r="T8" i="2"/>
  <c r="D111" i="5" l="1"/>
  <c r="E111" i="5"/>
  <c r="DA38" i="6"/>
  <c r="DA11" i="6" s="1"/>
  <c r="DA39" i="6"/>
  <c r="DA12" i="6" s="1"/>
  <c r="DA40" i="6"/>
  <c r="DA13" i="6" s="1"/>
  <c r="DA41" i="6"/>
  <c r="DA14" i="6" s="1"/>
  <c r="DA42" i="6"/>
  <c r="DA15" i="6" s="1"/>
  <c r="DA43" i="6"/>
  <c r="DA16" i="6" s="1"/>
  <c r="DA44" i="6"/>
  <c r="DA17" i="6" s="1"/>
  <c r="DA45" i="6"/>
  <c r="DA18" i="6" s="1"/>
  <c r="DA46" i="6"/>
  <c r="DA19" i="6" s="1"/>
  <c r="DA47" i="6"/>
  <c r="DA20" i="6" s="1"/>
  <c r="DA48" i="6"/>
  <c r="DA21" i="6" s="1"/>
  <c r="DA49" i="6"/>
  <c r="DA22" i="6" s="1"/>
  <c r="DA50" i="6"/>
  <c r="DA23" i="6" s="1"/>
  <c r="DA51" i="6"/>
  <c r="DA24" i="6" s="1"/>
  <c r="DA52" i="6"/>
  <c r="DA25" i="6" s="1"/>
  <c r="DA53" i="6"/>
  <c r="DA26" i="6" s="1"/>
  <c r="DA54" i="6"/>
  <c r="DA27" i="6" s="1"/>
  <c r="DA55" i="6"/>
  <c r="DA28" i="6" s="1"/>
  <c r="DA56" i="6"/>
  <c r="DA29" i="6" s="1"/>
  <c r="DB9" i="6"/>
  <c r="DA10" i="6"/>
  <c r="AK97" i="5"/>
  <c r="AO96" i="5"/>
  <c r="AI41" i="5"/>
  <c r="AI38" i="5"/>
  <c r="AI35" i="5"/>
  <c r="AI32" i="5"/>
  <c r="AI29" i="5"/>
  <c r="AI26" i="5"/>
  <c r="AI42" i="5"/>
  <c r="AI39" i="5"/>
  <c r="AI36" i="5"/>
  <c r="AI33" i="5"/>
  <c r="AI30" i="5"/>
  <c r="AI27" i="5"/>
  <c r="AI43" i="5"/>
  <c r="AI40" i="5"/>
  <c r="AI37" i="5"/>
  <c r="AI34" i="5"/>
  <c r="AI31" i="5"/>
  <c r="AI28" i="5"/>
  <c r="AG117" i="5"/>
  <c r="AI116" i="5"/>
  <c r="AC98" i="5"/>
  <c r="C112" i="5" s="1"/>
  <c r="D112" i="5" l="1"/>
  <c r="E112" i="5"/>
  <c r="DB38" i="6"/>
  <c r="DB11" i="6" s="1"/>
  <c r="DB39" i="6"/>
  <c r="DB12" i="6" s="1"/>
  <c r="DB40" i="6"/>
  <c r="DB13" i="6" s="1"/>
  <c r="DB41" i="6"/>
  <c r="DB14" i="6" s="1"/>
  <c r="DB42" i="6"/>
  <c r="DB15" i="6" s="1"/>
  <c r="DB43" i="6"/>
  <c r="DB16" i="6" s="1"/>
  <c r="DB44" i="6"/>
  <c r="DB17" i="6" s="1"/>
  <c r="DB45" i="6"/>
  <c r="DB18" i="6" s="1"/>
  <c r="DB46" i="6"/>
  <c r="DB19" i="6" s="1"/>
  <c r="DB47" i="6"/>
  <c r="DB20" i="6" s="1"/>
  <c r="DB48" i="6"/>
  <c r="DB21" i="6" s="1"/>
  <c r="DB49" i="6"/>
  <c r="DB22" i="6" s="1"/>
  <c r="DB50" i="6"/>
  <c r="DB23" i="6" s="1"/>
  <c r="DB51" i="6"/>
  <c r="DB24" i="6" s="1"/>
  <c r="DB52" i="6"/>
  <c r="DB25" i="6" s="1"/>
  <c r="DB53" i="6"/>
  <c r="DB26" i="6" s="1"/>
  <c r="DB54" i="6"/>
  <c r="DB27" i="6" s="1"/>
  <c r="DB55" i="6"/>
  <c r="DB28" i="6" s="1"/>
  <c r="DB56" i="6"/>
  <c r="DB29" i="6" s="1"/>
  <c r="DC9" i="6"/>
  <c r="DB10" i="6"/>
  <c r="AK98" i="5"/>
  <c r="AO97" i="5"/>
  <c r="AG118" i="5"/>
  <c r="AI117" i="5"/>
  <c r="AI88" i="5"/>
  <c r="AI87" i="5"/>
  <c r="AI90" i="5"/>
  <c r="AI89" i="5"/>
  <c r="AI93" i="5"/>
  <c r="AI91" i="5"/>
  <c r="AI94" i="5"/>
  <c r="AI92" i="5"/>
  <c r="AI95" i="5"/>
  <c r="AI84" i="5"/>
  <c r="AI85" i="5"/>
  <c r="AI52" i="5"/>
  <c r="AI59" i="5"/>
  <c r="AI58" i="5"/>
  <c r="AI60" i="5"/>
  <c r="AI70" i="5"/>
  <c r="AI68" i="5"/>
  <c r="AI75" i="5"/>
  <c r="AI61" i="5"/>
  <c r="AI69" i="5"/>
  <c r="AI82" i="5"/>
  <c r="AI81" i="5"/>
  <c r="AI80" i="5"/>
  <c r="AI71" i="5"/>
  <c r="AI44" i="5"/>
  <c r="AI54" i="5"/>
  <c r="AI73" i="5"/>
  <c r="AI64" i="5"/>
  <c r="AI83" i="5"/>
  <c r="AI72" i="5"/>
  <c r="AI66" i="5"/>
  <c r="AI78" i="5"/>
  <c r="AI48" i="5"/>
  <c r="AI55" i="5"/>
  <c r="AI45" i="5"/>
  <c r="AI79" i="5"/>
  <c r="AI49" i="5"/>
  <c r="AI53" i="5"/>
  <c r="AI67" i="5"/>
  <c r="AI56" i="5"/>
  <c r="AI50" i="5"/>
  <c r="AI63" i="5"/>
  <c r="AI46" i="5"/>
  <c r="AI77" i="5"/>
  <c r="AI76" i="5"/>
  <c r="AI65" i="5"/>
  <c r="AI47" i="5"/>
  <c r="AI62" i="5"/>
  <c r="AI74" i="5"/>
  <c r="AI51" i="5"/>
  <c r="AI57" i="5"/>
  <c r="AI25" i="5"/>
  <c r="AC99" i="5"/>
  <c r="C113" i="5" s="1"/>
  <c r="D113" i="5" l="1"/>
  <c r="E113" i="5"/>
  <c r="DC38" i="6"/>
  <c r="DC11" i="6" s="1"/>
  <c r="DC39" i="6"/>
  <c r="DC12" i="6" s="1"/>
  <c r="DC40" i="6"/>
  <c r="DC13" i="6" s="1"/>
  <c r="DC41" i="6"/>
  <c r="DC14" i="6" s="1"/>
  <c r="DC42" i="6"/>
  <c r="DC15" i="6" s="1"/>
  <c r="DC43" i="6"/>
  <c r="DC16" i="6" s="1"/>
  <c r="DC44" i="6"/>
  <c r="DC17" i="6" s="1"/>
  <c r="DC45" i="6"/>
  <c r="DC18" i="6" s="1"/>
  <c r="DC46" i="6"/>
  <c r="DC19" i="6" s="1"/>
  <c r="DC47" i="6"/>
  <c r="DC20" i="6" s="1"/>
  <c r="DC48" i="6"/>
  <c r="DC21" i="6" s="1"/>
  <c r="DC49" i="6"/>
  <c r="DC22" i="6" s="1"/>
  <c r="DC50" i="6"/>
  <c r="DC23" i="6" s="1"/>
  <c r="DC51" i="6"/>
  <c r="DC24" i="6" s="1"/>
  <c r="DC52" i="6"/>
  <c r="DC25" i="6" s="1"/>
  <c r="DC53" i="6"/>
  <c r="DC26" i="6" s="1"/>
  <c r="DC54" i="6"/>
  <c r="DC27" i="6" s="1"/>
  <c r="DC55" i="6"/>
  <c r="DC28" i="6" s="1"/>
  <c r="DC56" i="6"/>
  <c r="DC29" i="6" s="1"/>
  <c r="DD9" i="6"/>
  <c r="DC10" i="6"/>
  <c r="AK99" i="5"/>
  <c r="AO98" i="5"/>
  <c r="AG119" i="5"/>
  <c r="AI118" i="5"/>
  <c r="AC100" i="5"/>
  <c r="C114" i="5" s="1"/>
  <c r="D114" i="5" l="1"/>
  <c r="E114" i="5"/>
  <c r="AG120" i="5"/>
  <c r="AI119" i="5"/>
  <c r="DD38" i="6"/>
  <c r="DD39" i="6"/>
  <c r="DD12" i="6" s="1"/>
  <c r="DD40" i="6"/>
  <c r="DD13" i="6" s="1"/>
  <c r="DD41" i="6"/>
  <c r="DD14" i="6" s="1"/>
  <c r="DD42" i="6"/>
  <c r="DD15" i="6" s="1"/>
  <c r="DD43" i="6"/>
  <c r="DD16" i="6" s="1"/>
  <c r="DD44" i="6"/>
  <c r="DD17" i="6" s="1"/>
  <c r="DD45" i="6"/>
  <c r="DD18" i="6" s="1"/>
  <c r="DD46" i="6"/>
  <c r="DD19" i="6" s="1"/>
  <c r="DD47" i="6"/>
  <c r="DD20" i="6" s="1"/>
  <c r="DD48" i="6"/>
  <c r="DD21" i="6" s="1"/>
  <c r="DD49" i="6"/>
  <c r="DD22" i="6" s="1"/>
  <c r="DD50" i="6"/>
  <c r="DD23" i="6" s="1"/>
  <c r="DD51" i="6"/>
  <c r="DD24" i="6" s="1"/>
  <c r="DD52" i="6"/>
  <c r="DD25" i="6" s="1"/>
  <c r="DD53" i="6"/>
  <c r="DD26" i="6" s="1"/>
  <c r="DD54" i="6"/>
  <c r="DD27" i="6" s="1"/>
  <c r="DD55" i="6"/>
  <c r="DD28" i="6" s="1"/>
  <c r="DD56" i="6"/>
  <c r="DD29" i="6" s="1"/>
  <c r="DE9" i="6"/>
  <c r="DD11" i="6"/>
  <c r="DD10" i="6"/>
  <c r="AK100" i="5"/>
  <c r="AO99" i="5"/>
  <c r="AC101" i="5"/>
  <c r="C115" i="5" s="1"/>
  <c r="D115" i="5" l="1"/>
  <c r="E115" i="5"/>
  <c r="AG121" i="5"/>
  <c r="DE38" i="6"/>
  <c r="DE11" i="6" s="1"/>
  <c r="DE39" i="6"/>
  <c r="DE12" i="6" s="1"/>
  <c r="DE40" i="6"/>
  <c r="DE13" i="6" s="1"/>
  <c r="DE41" i="6"/>
  <c r="DE14" i="6" s="1"/>
  <c r="DE42" i="6"/>
  <c r="DE15" i="6" s="1"/>
  <c r="DE43" i="6"/>
  <c r="DE16" i="6" s="1"/>
  <c r="DE44" i="6"/>
  <c r="DE17" i="6" s="1"/>
  <c r="DE45" i="6"/>
  <c r="DE18" i="6" s="1"/>
  <c r="DE46" i="6"/>
  <c r="DE47" i="6"/>
  <c r="DE20" i="6" s="1"/>
  <c r="DE48" i="6"/>
  <c r="DE21" i="6" s="1"/>
  <c r="DE49" i="6"/>
  <c r="DE22" i="6" s="1"/>
  <c r="DE50" i="6"/>
  <c r="DE23" i="6" s="1"/>
  <c r="DE51" i="6"/>
  <c r="DE24" i="6" s="1"/>
  <c r="DE52" i="6"/>
  <c r="DE25" i="6" s="1"/>
  <c r="DE53" i="6"/>
  <c r="DE26" i="6" s="1"/>
  <c r="DE54" i="6"/>
  <c r="DE27" i="6" s="1"/>
  <c r="DE55" i="6"/>
  <c r="DE28" i="6" s="1"/>
  <c r="DE56" i="6"/>
  <c r="DE29" i="6" s="1"/>
  <c r="DF9" i="6"/>
  <c r="DE19" i="6"/>
  <c r="DE10" i="6"/>
  <c r="AK101" i="5"/>
  <c r="AO100" i="5"/>
  <c r="AC102" i="5"/>
  <c r="C116" i="5" s="1"/>
  <c r="D116" i="5" l="1"/>
  <c r="E116" i="5"/>
  <c r="AG122" i="5"/>
  <c r="DF38" i="6"/>
  <c r="DF11" i="6" s="1"/>
  <c r="DF39" i="6"/>
  <c r="DF12" i="6" s="1"/>
  <c r="DF40" i="6"/>
  <c r="DF13" i="6" s="1"/>
  <c r="DF41" i="6"/>
  <c r="DF14" i="6" s="1"/>
  <c r="DF42" i="6"/>
  <c r="DF15" i="6" s="1"/>
  <c r="DF43" i="6"/>
  <c r="DF16" i="6" s="1"/>
  <c r="DF44" i="6"/>
  <c r="DF17" i="6" s="1"/>
  <c r="DF45" i="6"/>
  <c r="DF18" i="6" s="1"/>
  <c r="DF46" i="6"/>
  <c r="DF19" i="6" s="1"/>
  <c r="DF47" i="6"/>
  <c r="DF20" i="6" s="1"/>
  <c r="DF48" i="6"/>
  <c r="DF21" i="6" s="1"/>
  <c r="DF49" i="6"/>
  <c r="DF22" i="6" s="1"/>
  <c r="DF50" i="6"/>
  <c r="DF23" i="6" s="1"/>
  <c r="DF51" i="6"/>
  <c r="DF24" i="6" s="1"/>
  <c r="DF52" i="6"/>
  <c r="DF25" i="6" s="1"/>
  <c r="DF53" i="6"/>
  <c r="DF26" i="6" s="1"/>
  <c r="DF54" i="6"/>
  <c r="DF27" i="6" s="1"/>
  <c r="DF55" i="6"/>
  <c r="DF28" i="6" s="1"/>
  <c r="DF56" i="6"/>
  <c r="DF29" i="6" s="1"/>
  <c r="DG9" i="6"/>
  <c r="DF10" i="6"/>
  <c r="AK102" i="5"/>
  <c r="AO101" i="5"/>
  <c r="AC103" i="5"/>
  <c r="C117" i="5" s="1"/>
  <c r="D117" i="5" l="1"/>
  <c r="E117" i="5"/>
  <c r="AG123" i="5"/>
  <c r="AI122" i="5"/>
  <c r="DG38" i="6"/>
  <c r="DG39" i="6"/>
  <c r="DG12" i="6" s="1"/>
  <c r="DG40" i="6"/>
  <c r="DG13" i="6" s="1"/>
  <c r="DG41" i="6"/>
  <c r="DG14" i="6" s="1"/>
  <c r="DG42" i="6"/>
  <c r="DG15" i="6" s="1"/>
  <c r="DG43" i="6"/>
  <c r="DG16" i="6" s="1"/>
  <c r="DG44" i="6"/>
  <c r="DG17" i="6" s="1"/>
  <c r="DG45" i="6"/>
  <c r="DG18" i="6" s="1"/>
  <c r="DG46" i="6"/>
  <c r="DG19" i="6" s="1"/>
  <c r="DG47" i="6"/>
  <c r="DG20" i="6" s="1"/>
  <c r="DG48" i="6"/>
  <c r="DG21" i="6" s="1"/>
  <c r="DG49" i="6"/>
  <c r="DG22" i="6" s="1"/>
  <c r="DG50" i="6"/>
  <c r="DG23" i="6" s="1"/>
  <c r="DG51" i="6"/>
  <c r="DG24" i="6" s="1"/>
  <c r="DG52" i="6"/>
  <c r="DG25" i="6" s="1"/>
  <c r="DG53" i="6"/>
  <c r="DG26" i="6" s="1"/>
  <c r="DG54" i="6"/>
  <c r="DG27" i="6" s="1"/>
  <c r="DG55" i="6"/>
  <c r="DG28" i="6" s="1"/>
  <c r="DG56" i="6"/>
  <c r="DG29" i="6" s="1"/>
  <c r="DH9" i="6"/>
  <c r="DG11" i="6"/>
  <c r="DG10" i="6"/>
  <c r="AK103" i="5"/>
  <c r="AO102" i="5"/>
  <c r="AC104" i="5"/>
  <c r="C118" i="5" s="1"/>
  <c r="AE113" i="2"/>
  <c r="E118" i="5" l="1"/>
  <c r="D118" i="5"/>
  <c r="AG124" i="5"/>
  <c r="AI123" i="5"/>
  <c r="DH38" i="6"/>
  <c r="DH11" i="6" s="1"/>
  <c r="DH39" i="6"/>
  <c r="DH12" i="6" s="1"/>
  <c r="DH40" i="6"/>
  <c r="DH13" i="6" s="1"/>
  <c r="DH41" i="6"/>
  <c r="DH14" i="6" s="1"/>
  <c r="DH42" i="6"/>
  <c r="DH15" i="6" s="1"/>
  <c r="DH43" i="6"/>
  <c r="DH16" i="6" s="1"/>
  <c r="DH44" i="6"/>
  <c r="DH17" i="6" s="1"/>
  <c r="DH45" i="6"/>
  <c r="DH18" i="6" s="1"/>
  <c r="DH46" i="6"/>
  <c r="DH19" i="6" s="1"/>
  <c r="DH47" i="6"/>
  <c r="DH20" i="6" s="1"/>
  <c r="DH48" i="6"/>
  <c r="DH21" i="6" s="1"/>
  <c r="DH49" i="6"/>
  <c r="DH22" i="6" s="1"/>
  <c r="DH50" i="6"/>
  <c r="DH23" i="6" s="1"/>
  <c r="DH51" i="6"/>
  <c r="DH24" i="6" s="1"/>
  <c r="DH52" i="6"/>
  <c r="DH25" i="6" s="1"/>
  <c r="DH53" i="6"/>
  <c r="DH26" i="6" s="1"/>
  <c r="DH54" i="6"/>
  <c r="DH27" i="6" s="1"/>
  <c r="DH55" i="6"/>
  <c r="DH28" i="6" s="1"/>
  <c r="DH56" i="6"/>
  <c r="DH29" i="6" s="1"/>
  <c r="DI9" i="6"/>
  <c r="DH10" i="6"/>
  <c r="AK104" i="5"/>
  <c r="AO103" i="5"/>
  <c r="AC105" i="5"/>
  <c r="C119" i="5" s="1"/>
  <c r="E119" i="5" l="1"/>
  <c r="D119" i="5"/>
  <c r="AG125" i="5"/>
  <c r="AI124" i="5"/>
  <c r="DI38" i="6"/>
  <c r="DI11" i="6" s="1"/>
  <c r="DI39" i="6"/>
  <c r="DI12" i="6" s="1"/>
  <c r="DI40" i="6"/>
  <c r="DI13" i="6" s="1"/>
  <c r="DI41" i="6"/>
  <c r="DI14" i="6" s="1"/>
  <c r="DI42" i="6"/>
  <c r="DI15" i="6" s="1"/>
  <c r="DI43" i="6"/>
  <c r="DI16" i="6" s="1"/>
  <c r="DI44" i="6"/>
  <c r="DI17" i="6" s="1"/>
  <c r="DI45" i="6"/>
  <c r="DI18" i="6" s="1"/>
  <c r="DI46" i="6"/>
  <c r="DI47" i="6"/>
  <c r="DI20" i="6" s="1"/>
  <c r="DI48" i="6"/>
  <c r="DI21" i="6" s="1"/>
  <c r="DI49" i="6"/>
  <c r="DI22" i="6" s="1"/>
  <c r="DI50" i="6"/>
  <c r="DI23" i="6" s="1"/>
  <c r="DI51" i="6"/>
  <c r="DI24" i="6" s="1"/>
  <c r="DI52" i="6"/>
  <c r="DI25" i="6" s="1"/>
  <c r="DI53" i="6"/>
  <c r="DI26" i="6" s="1"/>
  <c r="DI54" i="6"/>
  <c r="DI27" i="6" s="1"/>
  <c r="DI55" i="6"/>
  <c r="DI28" i="6" s="1"/>
  <c r="DI56" i="6"/>
  <c r="DI29" i="6" s="1"/>
  <c r="DJ9" i="6"/>
  <c r="DI19" i="6"/>
  <c r="DI10" i="6"/>
  <c r="AK105" i="5"/>
  <c r="AO104" i="5"/>
  <c r="AC106" i="5"/>
  <c r="C120" i="5" s="1"/>
  <c r="G39" i="4"/>
  <c r="G11" i="4" s="1"/>
  <c r="H39" i="4"/>
  <c r="H11" i="4" s="1"/>
  <c r="I39" i="4"/>
  <c r="I11" i="4" s="1"/>
  <c r="J39" i="4"/>
  <c r="J11" i="4" s="1"/>
  <c r="K39" i="4"/>
  <c r="K11" i="4" s="1"/>
  <c r="L39" i="4"/>
  <c r="L11" i="4" s="1"/>
  <c r="M39" i="4"/>
  <c r="M11" i="4" s="1"/>
  <c r="N39" i="4"/>
  <c r="N11" i="4" s="1"/>
  <c r="O39" i="4"/>
  <c r="O11" i="4" s="1"/>
  <c r="P39" i="4"/>
  <c r="P11" i="4" s="1"/>
  <c r="Q39" i="4"/>
  <c r="Q11" i="4" s="1"/>
  <c r="R39" i="4"/>
  <c r="R11" i="4" s="1"/>
  <c r="S39" i="4"/>
  <c r="S11" i="4" s="1"/>
  <c r="T39" i="4"/>
  <c r="T11" i="4" s="1"/>
  <c r="U39" i="4"/>
  <c r="U11" i="4" s="1"/>
  <c r="V39" i="4"/>
  <c r="V11" i="4" s="1"/>
  <c r="W39" i="4"/>
  <c r="W11" i="4" s="1"/>
  <c r="X39" i="4"/>
  <c r="X11" i="4" s="1"/>
  <c r="Y39" i="4"/>
  <c r="Y11" i="4" s="1"/>
  <c r="Z39" i="4"/>
  <c r="Z11" i="4" s="1"/>
  <c r="AA39" i="4"/>
  <c r="AA11" i="4" s="1"/>
  <c r="AB39" i="4"/>
  <c r="AB11" i="4" s="1"/>
  <c r="AC39" i="4"/>
  <c r="AC11" i="4" s="1"/>
  <c r="AD39" i="4"/>
  <c r="AD11" i="4" s="1"/>
  <c r="AE39" i="4"/>
  <c r="AE11" i="4" s="1"/>
  <c r="AF39" i="4"/>
  <c r="AF11" i="4" s="1"/>
  <c r="AG39" i="4"/>
  <c r="AG11" i="4" s="1"/>
  <c r="AH39" i="4"/>
  <c r="AH11" i="4" s="1"/>
  <c r="AI39" i="4"/>
  <c r="AI11" i="4" s="1"/>
  <c r="AJ39" i="4"/>
  <c r="AJ11" i="4" s="1"/>
  <c r="AK39" i="4"/>
  <c r="AK11" i="4" s="1"/>
  <c r="AL39" i="4"/>
  <c r="AL11" i="4" s="1"/>
  <c r="AM39" i="4"/>
  <c r="AM11" i="4" s="1"/>
  <c r="AN39" i="4"/>
  <c r="AN11" i="4" s="1"/>
  <c r="AO39" i="4"/>
  <c r="AO11" i="4" s="1"/>
  <c r="AP39" i="4"/>
  <c r="AP11" i="4" s="1"/>
  <c r="AQ39" i="4"/>
  <c r="AQ11" i="4" s="1"/>
  <c r="AR39" i="4"/>
  <c r="AR11" i="4" s="1"/>
  <c r="AS39" i="4"/>
  <c r="AS11" i="4" s="1"/>
  <c r="AT39" i="4"/>
  <c r="AT11" i="4" s="1"/>
  <c r="AU39" i="4"/>
  <c r="AU11" i="4" s="1"/>
  <c r="AV39" i="4"/>
  <c r="AV11" i="4" s="1"/>
  <c r="AW39" i="4"/>
  <c r="AW11" i="4" s="1"/>
  <c r="AX39" i="4"/>
  <c r="AX11" i="4" s="1"/>
  <c r="AY39" i="4"/>
  <c r="AY11" i="4" s="1"/>
  <c r="AZ39" i="4"/>
  <c r="AZ11" i="4" s="1"/>
  <c r="BA39" i="4"/>
  <c r="BA11" i="4" s="1"/>
  <c r="BB39" i="4"/>
  <c r="BB11" i="4" s="1"/>
  <c r="BC39" i="4"/>
  <c r="BC11" i="4" s="1"/>
  <c r="BD39" i="4"/>
  <c r="BD11" i="4" s="1"/>
  <c r="BE39" i="4"/>
  <c r="BE11" i="4" s="1"/>
  <c r="BF39" i="4"/>
  <c r="BF11" i="4" s="1"/>
  <c r="BG39" i="4"/>
  <c r="BG11" i="4" s="1"/>
  <c r="BH39" i="4"/>
  <c r="BH11" i="4" s="1"/>
  <c r="BI39" i="4"/>
  <c r="BI11" i="4" s="1"/>
  <c r="BJ39" i="4"/>
  <c r="BJ11" i="4" s="1"/>
  <c r="BK39" i="4"/>
  <c r="BK11" i="4" s="1"/>
  <c r="BL39" i="4"/>
  <c r="BL11" i="4" s="1"/>
  <c r="BM39" i="4"/>
  <c r="BM11" i="4" s="1"/>
  <c r="BN39" i="4"/>
  <c r="BN11" i="4" s="1"/>
  <c r="BO39" i="4"/>
  <c r="BO11" i="4" s="1"/>
  <c r="BP39" i="4"/>
  <c r="BP11" i="4" s="1"/>
  <c r="BQ39" i="4"/>
  <c r="BQ11" i="4" s="1"/>
  <c r="BR39" i="4"/>
  <c r="BR11" i="4" s="1"/>
  <c r="BS39" i="4"/>
  <c r="BS11" i="4" s="1"/>
  <c r="BT39" i="4"/>
  <c r="BT11" i="4" s="1"/>
  <c r="BU39" i="4"/>
  <c r="BU11" i="4" s="1"/>
  <c r="BV39" i="4"/>
  <c r="BV11" i="4" s="1"/>
  <c r="BW39" i="4"/>
  <c r="BW11" i="4" s="1"/>
  <c r="BX39" i="4"/>
  <c r="BX11" i="4" s="1"/>
  <c r="BY39" i="4"/>
  <c r="BY11" i="4" s="1"/>
  <c r="BZ39" i="4"/>
  <c r="BZ11" i="4" s="1"/>
  <c r="CA39" i="4"/>
  <c r="CA11" i="4" s="1"/>
  <c r="CB39" i="4"/>
  <c r="CB11" i="4" s="1"/>
  <c r="CC39" i="4"/>
  <c r="CC11" i="4" s="1"/>
  <c r="CD39" i="4"/>
  <c r="CD11" i="4" s="1"/>
  <c r="CE39" i="4"/>
  <c r="CE11" i="4" s="1"/>
  <c r="CF39" i="4"/>
  <c r="CF11" i="4" s="1"/>
  <c r="CG39" i="4"/>
  <c r="CG11" i="4" s="1"/>
  <c r="CH39" i="4"/>
  <c r="CH11" i="4" s="1"/>
  <c r="CI39" i="4"/>
  <c r="CI11" i="4" s="1"/>
  <c r="CJ39" i="4"/>
  <c r="CJ11" i="4" s="1"/>
  <c r="CK39" i="4"/>
  <c r="CK11" i="4" s="1"/>
  <c r="CL39" i="4"/>
  <c r="CL11" i="4" s="1"/>
  <c r="G40" i="4"/>
  <c r="G12" i="4" s="1"/>
  <c r="H40" i="4"/>
  <c r="H12" i="4" s="1"/>
  <c r="I40" i="4"/>
  <c r="I12" i="4" s="1"/>
  <c r="J40" i="4"/>
  <c r="J12" i="4" s="1"/>
  <c r="K40" i="4"/>
  <c r="K12" i="4" s="1"/>
  <c r="L40" i="4"/>
  <c r="L12" i="4" s="1"/>
  <c r="M40" i="4"/>
  <c r="M12" i="4" s="1"/>
  <c r="N40" i="4"/>
  <c r="N12" i="4" s="1"/>
  <c r="O40" i="4"/>
  <c r="O12" i="4" s="1"/>
  <c r="P40" i="4"/>
  <c r="P12" i="4" s="1"/>
  <c r="Q40" i="4"/>
  <c r="Q12" i="4" s="1"/>
  <c r="R40" i="4"/>
  <c r="R12" i="4" s="1"/>
  <c r="S40" i="4"/>
  <c r="S12" i="4" s="1"/>
  <c r="T40" i="4"/>
  <c r="T12" i="4" s="1"/>
  <c r="U40" i="4"/>
  <c r="U12" i="4" s="1"/>
  <c r="V40" i="4"/>
  <c r="V12" i="4" s="1"/>
  <c r="W40" i="4"/>
  <c r="W12" i="4" s="1"/>
  <c r="X40" i="4"/>
  <c r="X12" i="4" s="1"/>
  <c r="Y40" i="4"/>
  <c r="Y12" i="4" s="1"/>
  <c r="Z40" i="4"/>
  <c r="Z12" i="4" s="1"/>
  <c r="AA40" i="4"/>
  <c r="AA12" i="4" s="1"/>
  <c r="AB40" i="4"/>
  <c r="AB12" i="4" s="1"/>
  <c r="AC40" i="4"/>
  <c r="AC12" i="4" s="1"/>
  <c r="AD40" i="4"/>
  <c r="AD12" i="4" s="1"/>
  <c r="AE40" i="4"/>
  <c r="AE12" i="4" s="1"/>
  <c r="AF40" i="4"/>
  <c r="AF12" i="4" s="1"/>
  <c r="AG40" i="4"/>
  <c r="AG12" i="4" s="1"/>
  <c r="AH40" i="4"/>
  <c r="AH12" i="4" s="1"/>
  <c r="AI40" i="4"/>
  <c r="AI12" i="4" s="1"/>
  <c r="AJ40" i="4"/>
  <c r="AJ12" i="4" s="1"/>
  <c r="AK40" i="4"/>
  <c r="AK12" i="4" s="1"/>
  <c r="AL40" i="4"/>
  <c r="AL12" i="4" s="1"/>
  <c r="AM40" i="4"/>
  <c r="AM12" i="4" s="1"/>
  <c r="AN40" i="4"/>
  <c r="AN12" i="4" s="1"/>
  <c r="AO40" i="4"/>
  <c r="AO12" i="4" s="1"/>
  <c r="AP40" i="4"/>
  <c r="AP12" i="4" s="1"/>
  <c r="AQ40" i="4"/>
  <c r="AQ12" i="4" s="1"/>
  <c r="AR40" i="4"/>
  <c r="AR12" i="4" s="1"/>
  <c r="AS40" i="4"/>
  <c r="AS12" i="4" s="1"/>
  <c r="AT40" i="4"/>
  <c r="AT12" i="4" s="1"/>
  <c r="AU40" i="4"/>
  <c r="AU12" i="4" s="1"/>
  <c r="AV40" i="4"/>
  <c r="AV12" i="4" s="1"/>
  <c r="AW40" i="4"/>
  <c r="AW12" i="4" s="1"/>
  <c r="AX40" i="4"/>
  <c r="AX12" i="4" s="1"/>
  <c r="AY40" i="4"/>
  <c r="AY12" i="4" s="1"/>
  <c r="AZ40" i="4"/>
  <c r="AZ12" i="4" s="1"/>
  <c r="BA40" i="4"/>
  <c r="BA12" i="4" s="1"/>
  <c r="BB40" i="4"/>
  <c r="BB12" i="4" s="1"/>
  <c r="BC40" i="4"/>
  <c r="BC12" i="4" s="1"/>
  <c r="BD40" i="4"/>
  <c r="BD12" i="4" s="1"/>
  <c r="BE40" i="4"/>
  <c r="BE12" i="4" s="1"/>
  <c r="BF40" i="4"/>
  <c r="BF12" i="4" s="1"/>
  <c r="BG40" i="4"/>
  <c r="BG12" i="4" s="1"/>
  <c r="BH40" i="4"/>
  <c r="BH12" i="4" s="1"/>
  <c r="BI40" i="4"/>
  <c r="BI12" i="4" s="1"/>
  <c r="BJ40" i="4"/>
  <c r="BJ12" i="4" s="1"/>
  <c r="BK40" i="4"/>
  <c r="BK12" i="4" s="1"/>
  <c r="BL40" i="4"/>
  <c r="BL12" i="4" s="1"/>
  <c r="BM40" i="4"/>
  <c r="BM12" i="4" s="1"/>
  <c r="BN40" i="4"/>
  <c r="BN12" i="4" s="1"/>
  <c r="BO40" i="4"/>
  <c r="BO12" i="4" s="1"/>
  <c r="BP40" i="4"/>
  <c r="BP12" i="4" s="1"/>
  <c r="BQ40" i="4"/>
  <c r="BQ12" i="4" s="1"/>
  <c r="BR40" i="4"/>
  <c r="BR12" i="4" s="1"/>
  <c r="BS40" i="4"/>
  <c r="BS12" i="4" s="1"/>
  <c r="BT40" i="4"/>
  <c r="BT12" i="4" s="1"/>
  <c r="BU40" i="4"/>
  <c r="BU12" i="4" s="1"/>
  <c r="BV40" i="4"/>
  <c r="BV12" i="4" s="1"/>
  <c r="BW40" i="4"/>
  <c r="BW12" i="4" s="1"/>
  <c r="BX40" i="4"/>
  <c r="BX12" i="4" s="1"/>
  <c r="BY40" i="4"/>
  <c r="BY12" i="4" s="1"/>
  <c r="BZ40" i="4"/>
  <c r="BZ12" i="4" s="1"/>
  <c r="CA40" i="4"/>
  <c r="CA12" i="4" s="1"/>
  <c r="CB40" i="4"/>
  <c r="CB12" i="4" s="1"/>
  <c r="CC40" i="4"/>
  <c r="CC12" i="4" s="1"/>
  <c r="CD40" i="4"/>
  <c r="CD12" i="4" s="1"/>
  <c r="CE40" i="4"/>
  <c r="CE12" i="4" s="1"/>
  <c r="CF40" i="4"/>
  <c r="CF12" i="4" s="1"/>
  <c r="CG40" i="4"/>
  <c r="CG12" i="4" s="1"/>
  <c r="CH40" i="4"/>
  <c r="CH12" i="4" s="1"/>
  <c r="CI40" i="4"/>
  <c r="CI12" i="4" s="1"/>
  <c r="CJ40" i="4"/>
  <c r="CJ12" i="4" s="1"/>
  <c r="CK40" i="4"/>
  <c r="CK12" i="4" s="1"/>
  <c r="CL40" i="4"/>
  <c r="CL12" i="4" s="1"/>
  <c r="G41" i="4"/>
  <c r="G13" i="4" s="1"/>
  <c r="H41" i="4"/>
  <c r="H13" i="4" s="1"/>
  <c r="I41" i="4"/>
  <c r="I13" i="4" s="1"/>
  <c r="J41" i="4"/>
  <c r="J13" i="4" s="1"/>
  <c r="K41" i="4"/>
  <c r="K13" i="4" s="1"/>
  <c r="L41" i="4"/>
  <c r="L13" i="4" s="1"/>
  <c r="M41" i="4"/>
  <c r="M13" i="4" s="1"/>
  <c r="N41" i="4"/>
  <c r="N13" i="4" s="1"/>
  <c r="O41" i="4"/>
  <c r="O13" i="4" s="1"/>
  <c r="P41" i="4"/>
  <c r="P13" i="4" s="1"/>
  <c r="Q41" i="4"/>
  <c r="Q13" i="4" s="1"/>
  <c r="R41" i="4"/>
  <c r="R13" i="4" s="1"/>
  <c r="S41" i="4"/>
  <c r="S13" i="4" s="1"/>
  <c r="T41" i="4"/>
  <c r="T13" i="4" s="1"/>
  <c r="U41" i="4"/>
  <c r="U13" i="4" s="1"/>
  <c r="V41" i="4"/>
  <c r="V13" i="4" s="1"/>
  <c r="W41" i="4"/>
  <c r="W13" i="4" s="1"/>
  <c r="X41" i="4"/>
  <c r="X13" i="4" s="1"/>
  <c r="Y41" i="4"/>
  <c r="Y13" i="4" s="1"/>
  <c r="Z41" i="4"/>
  <c r="Z13" i="4" s="1"/>
  <c r="AA41" i="4"/>
  <c r="AA13" i="4" s="1"/>
  <c r="AB41" i="4"/>
  <c r="AB13" i="4" s="1"/>
  <c r="AC41" i="4"/>
  <c r="AC13" i="4" s="1"/>
  <c r="AD41" i="4"/>
  <c r="AD13" i="4" s="1"/>
  <c r="AE41" i="4"/>
  <c r="AE13" i="4" s="1"/>
  <c r="AF41" i="4"/>
  <c r="AF13" i="4" s="1"/>
  <c r="AG41" i="4"/>
  <c r="AG13" i="4" s="1"/>
  <c r="AH41" i="4"/>
  <c r="AH13" i="4" s="1"/>
  <c r="AI41" i="4"/>
  <c r="AI13" i="4" s="1"/>
  <c r="AJ41" i="4"/>
  <c r="AJ13" i="4" s="1"/>
  <c r="AK41" i="4"/>
  <c r="AK13" i="4" s="1"/>
  <c r="AL41" i="4"/>
  <c r="AL13" i="4" s="1"/>
  <c r="AM41" i="4"/>
  <c r="AM13" i="4" s="1"/>
  <c r="AN41" i="4"/>
  <c r="AN13" i="4" s="1"/>
  <c r="AO41" i="4"/>
  <c r="AO13" i="4" s="1"/>
  <c r="AP41" i="4"/>
  <c r="AP13" i="4" s="1"/>
  <c r="AQ41" i="4"/>
  <c r="AQ13" i="4" s="1"/>
  <c r="AR41" i="4"/>
  <c r="AR13" i="4" s="1"/>
  <c r="AS41" i="4"/>
  <c r="AS13" i="4" s="1"/>
  <c r="AT41" i="4"/>
  <c r="AT13" i="4" s="1"/>
  <c r="AU41" i="4"/>
  <c r="AU13" i="4" s="1"/>
  <c r="AV41" i="4"/>
  <c r="AV13" i="4" s="1"/>
  <c r="AW41" i="4"/>
  <c r="AW13" i="4" s="1"/>
  <c r="AX41" i="4"/>
  <c r="AX13" i="4" s="1"/>
  <c r="AY41" i="4"/>
  <c r="AY13" i="4" s="1"/>
  <c r="AZ41" i="4"/>
  <c r="AZ13" i="4" s="1"/>
  <c r="BA41" i="4"/>
  <c r="BA13" i="4" s="1"/>
  <c r="BB41" i="4"/>
  <c r="BB13" i="4" s="1"/>
  <c r="BC41" i="4"/>
  <c r="BC13" i="4" s="1"/>
  <c r="BD41" i="4"/>
  <c r="BD13" i="4" s="1"/>
  <c r="BE41" i="4"/>
  <c r="BE13" i="4" s="1"/>
  <c r="BF41" i="4"/>
  <c r="BF13" i="4" s="1"/>
  <c r="BG41" i="4"/>
  <c r="BG13" i="4" s="1"/>
  <c r="BH41" i="4"/>
  <c r="BH13" i="4" s="1"/>
  <c r="BI41" i="4"/>
  <c r="BI13" i="4" s="1"/>
  <c r="BJ41" i="4"/>
  <c r="BJ13" i="4" s="1"/>
  <c r="BK41" i="4"/>
  <c r="BK13" i="4" s="1"/>
  <c r="BL41" i="4"/>
  <c r="BL13" i="4" s="1"/>
  <c r="BM41" i="4"/>
  <c r="BM13" i="4" s="1"/>
  <c r="BN41" i="4"/>
  <c r="BN13" i="4" s="1"/>
  <c r="BO41" i="4"/>
  <c r="BO13" i="4" s="1"/>
  <c r="BP41" i="4"/>
  <c r="BP13" i="4" s="1"/>
  <c r="BQ41" i="4"/>
  <c r="BQ13" i="4" s="1"/>
  <c r="BR41" i="4"/>
  <c r="BR13" i="4" s="1"/>
  <c r="BS41" i="4"/>
  <c r="BS13" i="4" s="1"/>
  <c r="BT41" i="4"/>
  <c r="BT13" i="4" s="1"/>
  <c r="BU41" i="4"/>
  <c r="BU13" i="4" s="1"/>
  <c r="BV41" i="4"/>
  <c r="BV13" i="4" s="1"/>
  <c r="BW41" i="4"/>
  <c r="BW13" i="4" s="1"/>
  <c r="BX41" i="4"/>
  <c r="BX13" i="4" s="1"/>
  <c r="BY41" i="4"/>
  <c r="BY13" i="4" s="1"/>
  <c r="BZ41" i="4"/>
  <c r="BZ13" i="4" s="1"/>
  <c r="CA41" i="4"/>
  <c r="CA13" i="4" s="1"/>
  <c r="CB41" i="4"/>
  <c r="CB13" i="4" s="1"/>
  <c r="CC41" i="4"/>
  <c r="CC13" i="4" s="1"/>
  <c r="CD41" i="4"/>
  <c r="CD13" i="4" s="1"/>
  <c r="CE41" i="4"/>
  <c r="CE13" i="4" s="1"/>
  <c r="CF41" i="4"/>
  <c r="CF13" i="4" s="1"/>
  <c r="CG41" i="4"/>
  <c r="CG13" i="4" s="1"/>
  <c r="CH41" i="4"/>
  <c r="CH13" i="4" s="1"/>
  <c r="CI41" i="4"/>
  <c r="CI13" i="4" s="1"/>
  <c r="CJ41" i="4"/>
  <c r="CJ13" i="4" s="1"/>
  <c r="CK41" i="4"/>
  <c r="CK13" i="4" s="1"/>
  <c r="CL41" i="4"/>
  <c r="CL13" i="4" s="1"/>
  <c r="G42" i="4"/>
  <c r="G14" i="4" s="1"/>
  <c r="H42" i="4"/>
  <c r="H14" i="4" s="1"/>
  <c r="I42" i="4"/>
  <c r="I14" i="4" s="1"/>
  <c r="J42" i="4"/>
  <c r="J14" i="4" s="1"/>
  <c r="K42" i="4"/>
  <c r="K14" i="4" s="1"/>
  <c r="L42" i="4"/>
  <c r="L14" i="4" s="1"/>
  <c r="M42" i="4"/>
  <c r="M14" i="4" s="1"/>
  <c r="N42" i="4"/>
  <c r="N14" i="4" s="1"/>
  <c r="O42" i="4"/>
  <c r="O14" i="4" s="1"/>
  <c r="P42" i="4"/>
  <c r="P14" i="4" s="1"/>
  <c r="Q42" i="4"/>
  <c r="Q14" i="4" s="1"/>
  <c r="R42" i="4"/>
  <c r="R14" i="4" s="1"/>
  <c r="S42" i="4"/>
  <c r="S14" i="4" s="1"/>
  <c r="T42" i="4"/>
  <c r="T14" i="4" s="1"/>
  <c r="U42" i="4"/>
  <c r="U14" i="4" s="1"/>
  <c r="V42" i="4"/>
  <c r="V14" i="4" s="1"/>
  <c r="W42" i="4"/>
  <c r="W14" i="4" s="1"/>
  <c r="X42" i="4"/>
  <c r="X14" i="4" s="1"/>
  <c r="Y42" i="4"/>
  <c r="Y14" i="4" s="1"/>
  <c r="Z42" i="4"/>
  <c r="Z14" i="4" s="1"/>
  <c r="AA42" i="4"/>
  <c r="AA14" i="4" s="1"/>
  <c r="AB42" i="4"/>
  <c r="AB14" i="4" s="1"/>
  <c r="AC42" i="4"/>
  <c r="AC14" i="4" s="1"/>
  <c r="AD42" i="4"/>
  <c r="AD14" i="4" s="1"/>
  <c r="AE42" i="4"/>
  <c r="AE14" i="4" s="1"/>
  <c r="AF42" i="4"/>
  <c r="AF14" i="4" s="1"/>
  <c r="AG42" i="4"/>
  <c r="AG14" i="4" s="1"/>
  <c r="AH42" i="4"/>
  <c r="AH14" i="4" s="1"/>
  <c r="AI42" i="4"/>
  <c r="AI14" i="4" s="1"/>
  <c r="AJ42" i="4"/>
  <c r="AJ14" i="4" s="1"/>
  <c r="AK42" i="4"/>
  <c r="AK14" i="4" s="1"/>
  <c r="AL42" i="4"/>
  <c r="AL14" i="4" s="1"/>
  <c r="AM42" i="4"/>
  <c r="AM14" i="4" s="1"/>
  <c r="AN42" i="4"/>
  <c r="AN14" i="4" s="1"/>
  <c r="AO42" i="4"/>
  <c r="AO14" i="4" s="1"/>
  <c r="AP42" i="4"/>
  <c r="AP14" i="4" s="1"/>
  <c r="AQ42" i="4"/>
  <c r="AQ14" i="4" s="1"/>
  <c r="AR42" i="4"/>
  <c r="AR14" i="4" s="1"/>
  <c r="AS42" i="4"/>
  <c r="AS14" i="4" s="1"/>
  <c r="AT42" i="4"/>
  <c r="AT14" i="4" s="1"/>
  <c r="AU42" i="4"/>
  <c r="AU14" i="4" s="1"/>
  <c r="AV42" i="4"/>
  <c r="AV14" i="4" s="1"/>
  <c r="AW42" i="4"/>
  <c r="AW14" i="4" s="1"/>
  <c r="AX42" i="4"/>
  <c r="AX14" i="4" s="1"/>
  <c r="AY42" i="4"/>
  <c r="AY14" i="4" s="1"/>
  <c r="AZ42" i="4"/>
  <c r="AZ14" i="4" s="1"/>
  <c r="BA42" i="4"/>
  <c r="BA14" i="4" s="1"/>
  <c r="BB42" i="4"/>
  <c r="BB14" i="4" s="1"/>
  <c r="BC42" i="4"/>
  <c r="BC14" i="4" s="1"/>
  <c r="BD42" i="4"/>
  <c r="BD14" i="4" s="1"/>
  <c r="BE42" i="4"/>
  <c r="BE14" i="4" s="1"/>
  <c r="BF42" i="4"/>
  <c r="BF14" i="4" s="1"/>
  <c r="BG42" i="4"/>
  <c r="BG14" i="4" s="1"/>
  <c r="BH42" i="4"/>
  <c r="BH14" i="4" s="1"/>
  <c r="BI42" i="4"/>
  <c r="BI14" i="4" s="1"/>
  <c r="BJ42" i="4"/>
  <c r="BJ14" i="4" s="1"/>
  <c r="BK42" i="4"/>
  <c r="BK14" i="4" s="1"/>
  <c r="BL42" i="4"/>
  <c r="BL14" i="4" s="1"/>
  <c r="BM42" i="4"/>
  <c r="BM14" i="4" s="1"/>
  <c r="BN42" i="4"/>
  <c r="BN14" i="4" s="1"/>
  <c r="BO42" i="4"/>
  <c r="BO14" i="4" s="1"/>
  <c r="BP42" i="4"/>
  <c r="BP14" i="4" s="1"/>
  <c r="BQ42" i="4"/>
  <c r="BQ14" i="4" s="1"/>
  <c r="BR42" i="4"/>
  <c r="BR14" i="4" s="1"/>
  <c r="BS42" i="4"/>
  <c r="BS14" i="4" s="1"/>
  <c r="BT42" i="4"/>
  <c r="BT14" i="4" s="1"/>
  <c r="BU42" i="4"/>
  <c r="BU14" i="4" s="1"/>
  <c r="BV42" i="4"/>
  <c r="BV14" i="4" s="1"/>
  <c r="BW42" i="4"/>
  <c r="BW14" i="4" s="1"/>
  <c r="BX42" i="4"/>
  <c r="BX14" i="4" s="1"/>
  <c r="BY42" i="4"/>
  <c r="BY14" i="4" s="1"/>
  <c r="BZ42" i="4"/>
  <c r="BZ14" i="4" s="1"/>
  <c r="CA42" i="4"/>
  <c r="CA14" i="4" s="1"/>
  <c r="CB42" i="4"/>
  <c r="CB14" i="4" s="1"/>
  <c r="CC42" i="4"/>
  <c r="CC14" i="4" s="1"/>
  <c r="CD42" i="4"/>
  <c r="CD14" i="4" s="1"/>
  <c r="CE42" i="4"/>
  <c r="CE14" i="4" s="1"/>
  <c r="CF42" i="4"/>
  <c r="CF14" i="4" s="1"/>
  <c r="CG42" i="4"/>
  <c r="CG14" i="4" s="1"/>
  <c r="CH42" i="4"/>
  <c r="CH14" i="4" s="1"/>
  <c r="CI42" i="4"/>
  <c r="CI14" i="4" s="1"/>
  <c r="CJ42" i="4"/>
  <c r="CJ14" i="4" s="1"/>
  <c r="CK42" i="4"/>
  <c r="CK14" i="4" s="1"/>
  <c r="CL42" i="4"/>
  <c r="CL14" i="4" s="1"/>
  <c r="G43" i="4"/>
  <c r="G15" i="4" s="1"/>
  <c r="H43" i="4"/>
  <c r="H15" i="4" s="1"/>
  <c r="I43" i="4"/>
  <c r="I15" i="4" s="1"/>
  <c r="J43" i="4"/>
  <c r="J15" i="4" s="1"/>
  <c r="K43" i="4"/>
  <c r="K15" i="4" s="1"/>
  <c r="L43" i="4"/>
  <c r="L15" i="4" s="1"/>
  <c r="M43" i="4"/>
  <c r="M15" i="4" s="1"/>
  <c r="N43" i="4"/>
  <c r="N15" i="4" s="1"/>
  <c r="O43" i="4"/>
  <c r="O15" i="4" s="1"/>
  <c r="P43" i="4"/>
  <c r="P15" i="4" s="1"/>
  <c r="Q43" i="4"/>
  <c r="Q15" i="4" s="1"/>
  <c r="R43" i="4"/>
  <c r="R15" i="4" s="1"/>
  <c r="S43" i="4"/>
  <c r="S15" i="4" s="1"/>
  <c r="T43" i="4"/>
  <c r="T15" i="4" s="1"/>
  <c r="U43" i="4"/>
  <c r="U15" i="4" s="1"/>
  <c r="V43" i="4"/>
  <c r="V15" i="4" s="1"/>
  <c r="W43" i="4"/>
  <c r="W15" i="4" s="1"/>
  <c r="X43" i="4"/>
  <c r="X15" i="4" s="1"/>
  <c r="Y43" i="4"/>
  <c r="Y15" i="4" s="1"/>
  <c r="Z43" i="4"/>
  <c r="Z15" i="4" s="1"/>
  <c r="AA43" i="4"/>
  <c r="AA15" i="4" s="1"/>
  <c r="AB43" i="4"/>
  <c r="AB15" i="4" s="1"/>
  <c r="AC43" i="4"/>
  <c r="AC15" i="4" s="1"/>
  <c r="AD43" i="4"/>
  <c r="AD15" i="4" s="1"/>
  <c r="AE43" i="4"/>
  <c r="AE15" i="4" s="1"/>
  <c r="AF43" i="4"/>
  <c r="AF15" i="4" s="1"/>
  <c r="AG43" i="4"/>
  <c r="AG15" i="4" s="1"/>
  <c r="AH43" i="4"/>
  <c r="AH15" i="4" s="1"/>
  <c r="AI43" i="4"/>
  <c r="AI15" i="4" s="1"/>
  <c r="AJ43" i="4"/>
  <c r="AJ15" i="4" s="1"/>
  <c r="AK43" i="4"/>
  <c r="AK15" i="4" s="1"/>
  <c r="AL43" i="4"/>
  <c r="AL15" i="4" s="1"/>
  <c r="AM43" i="4"/>
  <c r="AM15" i="4" s="1"/>
  <c r="AN43" i="4"/>
  <c r="AN15" i="4" s="1"/>
  <c r="AO43" i="4"/>
  <c r="AO15" i="4" s="1"/>
  <c r="AP43" i="4"/>
  <c r="AP15" i="4" s="1"/>
  <c r="AQ43" i="4"/>
  <c r="AQ15" i="4" s="1"/>
  <c r="AR43" i="4"/>
  <c r="AR15" i="4" s="1"/>
  <c r="AS43" i="4"/>
  <c r="AS15" i="4" s="1"/>
  <c r="AT43" i="4"/>
  <c r="AT15" i="4" s="1"/>
  <c r="AU43" i="4"/>
  <c r="AU15" i="4" s="1"/>
  <c r="AV43" i="4"/>
  <c r="AV15" i="4" s="1"/>
  <c r="AW43" i="4"/>
  <c r="AW15" i="4" s="1"/>
  <c r="AX43" i="4"/>
  <c r="AX15" i="4" s="1"/>
  <c r="AY43" i="4"/>
  <c r="AY15" i="4" s="1"/>
  <c r="AZ43" i="4"/>
  <c r="AZ15" i="4" s="1"/>
  <c r="BA43" i="4"/>
  <c r="BA15" i="4" s="1"/>
  <c r="BB43" i="4"/>
  <c r="BB15" i="4" s="1"/>
  <c r="BC43" i="4"/>
  <c r="BC15" i="4" s="1"/>
  <c r="BD43" i="4"/>
  <c r="BD15" i="4" s="1"/>
  <c r="BE43" i="4"/>
  <c r="BE15" i="4" s="1"/>
  <c r="BF43" i="4"/>
  <c r="BF15" i="4" s="1"/>
  <c r="BG43" i="4"/>
  <c r="BG15" i="4" s="1"/>
  <c r="BH43" i="4"/>
  <c r="BH15" i="4" s="1"/>
  <c r="BI43" i="4"/>
  <c r="BI15" i="4" s="1"/>
  <c r="BJ43" i="4"/>
  <c r="BJ15" i="4" s="1"/>
  <c r="BK43" i="4"/>
  <c r="BK15" i="4" s="1"/>
  <c r="BL43" i="4"/>
  <c r="BL15" i="4" s="1"/>
  <c r="BM43" i="4"/>
  <c r="BM15" i="4" s="1"/>
  <c r="BN43" i="4"/>
  <c r="BN15" i="4" s="1"/>
  <c r="BO43" i="4"/>
  <c r="BO15" i="4" s="1"/>
  <c r="BP43" i="4"/>
  <c r="BP15" i="4" s="1"/>
  <c r="BQ43" i="4"/>
  <c r="BQ15" i="4" s="1"/>
  <c r="BR43" i="4"/>
  <c r="BR15" i="4" s="1"/>
  <c r="BS43" i="4"/>
  <c r="BS15" i="4" s="1"/>
  <c r="BT43" i="4"/>
  <c r="BT15" i="4" s="1"/>
  <c r="BU43" i="4"/>
  <c r="BU15" i="4" s="1"/>
  <c r="BV43" i="4"/>
  <c r="BV15" i="4" s="1"/>
  <c r="BW43" i="4"/>
  <c r="BW15" i="4" s="1"/>
  <c r="BX43" i="4"/>
  <c r="BX15" i="4" s="1"/>
  <c r="BY43" i="4"/>
  <c r="BY15" i="4" s="1"/>
  <c r="BZ43" i="4"/>
  <c r="BZ15" i="4" s="1"/>
  <c r="CA43" i="4"/>
  <c r="CA15" i="4" s="1"/>
  <c r="CB43" i="4"/>
  <c r="CB15" i="4" s="1"/>
  <c r="CC43" i="4"/>
  <c r="CC15" i="4" s="1"/>
  <c r="CD43" i="4"/>
  <c r="CD15" i="4" s="1"/>
  <c r="CE43" i="4"/>
  <c r="CE15" i="4" s="1"/>
  <c r="CF43" i="4"/>
  <c r="CF15" i="4" s="1"/>
  <c r="CG43" i="4"/>
  <c r="CG15" i="4" s="1"/>
  <c r="CH43" i="4"/>
  <c r="CH15" i="4" s="1"/>
  <c r="CI43" i="4"/>
  <c r="CI15" i="4" s="1"/>
  <c r="CJ43" i="4"/>
  <c r="CJ15" i="4" s="1"/>
  <c r="CK43" i="4"/>
  <c r="CK15" i="4" s="1"/>
  <c r="CL43" i="4"/>
  <c r="CL15" i="4" s="1"/>
  <c r="G44" i="4"/>
  <c r="G16" i="4" s="1"/>
  <c r="H44" i="4"/>
  <c r="H16" i="4" s="1"/>
  <c r="I44" i="4"/>
  <c r="I16" i="4" s="1"/>
  <c r="J44" i="4"/>
  <c r="J16" i="4" s="1"/>
  <c r="K44" i="4"/>
  <c r="K16" i="4" s="1"/>
  <c r="L44" i="4"/>
  <c r="L16" i="4" s="1"/>
  <c r="M44" i="4"/>
  <c r="M16" i="4" s="1"/>
  <c r="N44" i="4"/>
  <c r="N16" i="4" s="1"/>
  <c r="O44" i="4"/>
  <c r="O16" i="4" s="1"/>
  <c r="P44" i="4"/>
  <c r="P16" i="4" s="1"/>
  <c r="Q44" i="4"/>
  <c r="Q16" i="4" s="1"/>
  <c r="R44" i="4"/>
  <c r="R16" i="4" s="1"/>
  <c r="S44" i="4"/>
  <c r="S16" i="4" s="1"/>
  <c r="T44" i="4"/>
  <c r="T16" i="4" s="1"/>
  <c r="U44" i="4"/>
  <c r="U16" i="4" s="1"/>
  <c r="V44" i="4"/>
  <c r="V16" i="4" s="1"/>
  <c r="W44" i="4"/>
  <c r="W16" i="4" s="1"/>
  <c r="X44" i="4"/>
  <c r="X16" i="4" s="1"/>
  <c r="Y44" i="4"/>
  <c r="Y16" i="4" s="1"/>
  <c r="Z44" i="4"/>
  <c r="Z16" i="4" s="1"/>
  <c r="AA44" i="4"/>
  <c r="AA16" i="4" s="1"/>
  <c r="AB44" i="4"/>
  <c r="AB16" i="4" s="1"/>
  <c r="AC44" i="4"/>
  <c r="AC16" i="4" s="1"/>
  <c r="AD44" i="4"/>
  <c r="AD16" i="4" s="1"/>
  <c r="AE44" i="4"/>
  <c r="AE16" i="4" s="1"/>
  <c r="AF44" i="4"/>
  <c r="AF16" i="4" s="1"/>
  <c r="AG44" i="4"/>
  <c r="AG16" i="4" s="1"/>
  <c r="AH44" i="4"/>
  <c r="AH16" i="4" s="1"/>
  <c r="AI44" i="4"/>
  <c r="AI16" i="4" s="1"/>
  <c r="AJ44" i="4"/>
  <c r="AJ16" i="4" s="1"/>
  <c r="AK44" i="4"/>
  <c r="AK16" i="4" s="1"/>
  <c r="AL44" i="4"/>
  <c r="AL16" i="4" s="1"/>
  <c r="AM44" i="4"/>
  <c r="AM16" i="4" s="1"/>
  <c r="AN44" i="4"/>
  <c r="AN16" i="4" s="1"/>
  <c r="AO44" i="4"/>
  <c r="AO16" i="4" s="1"/>
  <c r="AP44" i="4"/>
  <c r="AP16" i="4" s="1"/>
  <c r="AQ44" i="4"/>
  <c r="AQ16" i="4" s="1"/>
  <c r="AR44" i="4"/>
  <c r="AR16" i="4" s="1"/>
  <c r="AS44" i="4"/>
  <c r="AS16" i="4" s="1"/>
  <c r="AT44" i="4"/>
  <c r="AT16" i="4" s="1"/>
  <c r="AU44" i="4"/>
  <c r="AU16" i="4" s="1"/>
  <c r="AV44" i="4"/>
  <c r="AV16" i="4" s="1"/>
  <c r="AW44" i="4"/>
  <c r="AW16" i="4" s="1"/>
  <c r="AX44" i="4"/>
  <c r="AX16" i="4" s="1"/>
  <c r="AY44" i="4"/>
  <c r="AY16" i="4" s="1"/>
  <c r="AZ44" i="4"/>
  <c r="AZ16" i="4" s="1"/>
  <c r="BA44" i="4"/>
  <c r="BA16" i="4" s="1"/>
  <c r="BB44" i="4"/>
  <c r="BB16" i="4" s="1"/>
  <c r="BC44" i="4"/>
  <c r="BC16" i="4" s="1"/>
  <c r="BD44" i="4"/>
  <c r="BD16" i="4" s="1"/>
  <c r="BE44" i="4"/>
  <c r="BE16" i="4" s="1"/>
  <c r="BF44" i="4"/>
  <c r="BF16" i="4" s="1"/>
  <c r="BG44" i="4"/>
  <c r="BG16" i="4" s="1"/>
  <c r="BH44" i="4"/>
  <c r="BH16" i="4" s="1"/>
  <c r="BI44" i="4"/>
  <c r="BI16" i="4" s="1"/>
  <c r="BJ44" i="4"/>
  <c r="BJ16" i="4" s="1"/>
  <c r="BK44" i="4"/>
  <c r="BK16" i="4" s="1"/>
  <c r="BL44" i="4"/>
  <c r="BL16" i="4" s="1"/>
  <c r="BM44" i="4"/>
  <c r="BM16" i="4" s="1"/>
  <c r="BN44" i="4"/>
  <c r="BN16" i="4" s="1"/>
  <c r="BO44" i="4"/>
  <c r="BO16" i="4" s="1"/>
  <c r="BP44" i="4"/>
  <c r="BP16" i="4" s="1"/>
  <c r="BQ44" i="4"/>
  <c r="BQ16" i="4" s="1"/>
  <c r="BR44" i="4"/>
  <c r="BR16" i="4" s="1"/>
  <c r="BS44" i="4"/>
  <c r="BS16" i="4" s="1"/>
  <c r="BT44" i="4"/>
  <c r="BT16" i="4" s="1"/>
  <c r="BU44" i="4"/>
  <c r="BU16" i="4" s="1"/>
  <c r="BV44" i="4"/>
  <c r="BV16" i="4" s="1"/>
  <c r="BW44" i="4"/>
  <c r="BW16" i="4" s="1"/>
  <c r="BX44" i="4"/>
  <c r="BX16" i="4" s="1"/>
  <c r="BY44" i="4"/>
  <c r="BY16" i="4" s="1"/>
  <c r="BZ44" i="4"/>
  <c r="BZ16" i="4" s="1"/>
  <c r="CA44" i="4"/>
  <c r="CA16" i="4" s="1"/>
  <c r="CB44" i="4"/>
  <c r="CB16" i="4" s="1"/>
  <c r="CC44" i="4"/>
  <c r="CC16" i="4" s="1"/>
  <c r="CD44" i="4"/>
  <c r="CD16" i="4" s="1"/>
  <c r="CE44" i="4"/>
  <c r="CE16" i="4" s="1"/>
  <c r="CF44" i="4"/>
  <c r="CF16" i="4" s="1"/>
  <c r="CG44" i="4"/>
  <c r="CG16" i="4" s="1"/>
  <c r="CH44" i="4"/>
  <c r="CH16" i="4" s="1"/>
  <c r="CI44" i="4"/>
  <c r="CI16" i="4" s="1"/>
  <c r="CJ44" i="4"/>
  <c r="CJ16" i="4" s="1"/>
  <c r="CK44" i="4"/>
  <c r="CK16" i="4" s="1"/>
  <c r="CL44" i="4"/>
  <c r="CL16" i="4" s="1"/>
  <c r="G45" i="4"/>
  <c r="G17" i="4" s="1"/>
  <c r="H45" i="4"/>
  <c r="H17" i="4" s="1"/>
  <c r="I45" i="4"/>
  <c r="I17" i="4" s="1"/>
  <c r="J45" i="4"/>
  <c r="J17" i="4" s="1"/>
  <c r="K45" i="4"/>
  <c r="K17" i="4" s="1"/>
  <c r="L45" i="4"/>
  <c r="L17" i="4" s="1"/>
  <c r="M45" i="4"/>
  <c r="M17" i="4" s="1"/>
  <c r="N45" i="4"/>
  <c r="N17" i="4" s="1"/>
  <c r="O45" i="4"/>
  <c r="O17" i="4" s="1"/>
  <c r="P45" i="4"/>
  <c r="P17" i="4" s="1"/>
  <c r="Q45" i="4"/>
  <c r="Q17" i="4" s="1"/>
  <c r="R45" i="4"/>
  <c r="R17" i="4" s="1"/>
  <c r="S45" i="4"/>
  <c r="S17" i="4" s="1"/>
  <c r="T45" i="4"/>
  <c r="T17" i="4" s="1"/>
  <c r="U45" i="4"/>
  <c r="U17" i="4" s="1"/>
  <c r="V45" i="4"/>
  <c r="V17" i="4" s="1"/>
  <c r="W45" i="4"/>
  <c r="W17" i="4" s="1"/>
  <c r="X45" i="4"/>
  <c r="X17" i="4" s="1"/>
  <c r="Y45" i="4"/>
  <c r="Y17" i="4" s="1"/>
  <c r="Z45" i="4"/>
  <c r="Z17" i="4" s="1"/>
  <c r="AA45" i="4"/>
  <c r="AA17" i="4" s="1"/>
  <c r="AB45" i="4"/>
  <c r="AB17" i="4" s="1"/>
  <c r="AC45" i="4"/>
  <c r="AC17" i="4" s="1"/>
  <c r="AD45" i="4"/>
  <c r="AD17" i="4" s="1"/>
  <c r="AE45" i="4"/>
  <c r="AE17" i="4" s="1"/>
  <c r="AF45" i="4"/>
  <c r="AF17" i="4" s="1"/>
  <c r="AG45" i="4"/>
  <c r="AG17" i="4" s="1"/>
  <c r="AH45" i="4"/>
  <c r="AH17" i="4" s="1"/>
  <c r="AI45" i="4"/>
  <c r="AI17" i="4" s="1"/>
  <c r="AJ45" i="4"/>
  <c r="AJ17" i="4" s="1"/>
  <c r="AK45" i="4"/>
  <c r="AK17" i="4" s="1"/>
  <c r="AL45" i="4"/>
  <c r="AL17" i="4" s="1"/>
  <c r="AM45" i="4"/>
  <c r="AM17" i="4" s="1"/>
  <c r="AN45" i="4"/>
  <c r="AN17" i="4" s="1"/>
  <c r="AO45" i="4"/>
  <c r="AO17" i="4" s="1"/>
  <c r="AP45" i="4"/>
  <c r="AP17" i="4" s="1"/>
  <c r="AQ45" i="4"/>
  <c r="AQ17" i="4" s="1"/>
  <c r="AR45" i="4"/>
  <c r="AR17" i="4" s="1"/>
  <c r="AS45" i="4"/>
  <c r="AS17" i="4" s="1"/>
  <c r="AT45" i="4"/>
  <c r="AT17" i="4" s="1"/>
  <c r="AU45" i="4"/>
  <c r="AU17" i="4" s="1"/>
  <c r="AV45" i="4"/>
  <c r="AV17" i="4" s="1"/>
  <c r="AW45" i="4"/>
  <c r="AW17" i="4" s="1"/>
  <c r="AX45" i="4"/>
  <c r="AX17" i="4" s="1"/>
  <c r="AY45" i="4"/>
  <c r="AY17" i="4" s="1"/>
  <c r="AZ45" i="4"/>
  <c r="AZ17" i="4" s="1"/>
  <c r="BA45" i="4"/>
  <c r="BA17" i="4" s="1"/>
  <c r="BB45" i="4"/>
  <c r="BB17" i="4" s="1"/>
  <c r="BC45" i="4"/>
  <c r="BC17" i="4" s="1"/>
  <c r="BD45" i="4"/>
  <c r="BD17" i="4" s="1"/>
  <c r="BE45" i="4"/>
  <c r="BE17" i="4" s="1"/>
  <c r="BF45" i="4"/>
  <c r="BF17" i="4" s="1"/>
  <c r="BG45" i="4"/>
  <c r="BG17" i="4" s="1"/>
  <c r="BH45" i="4"/>
  <c r="BH17" i="4" s="1"/>
  <c r="BI45" i="4"/>
  <c r="BI17" i="4" s="1"/>
  <c r="BJ45" i="4"/>
  <c r="BJ17" i="4" s="1"/>
  <c r="BK45" i="4"/>
  <c r="BK17" i="4" s="1"/>
  <c r="BL45" i="4"/>
  <c r="BL17" i="4" s="1"/>
  <c r="BM45" i="4"/>
  <c r="BM17" i="4" s="1"/>
  <c r="BN45" i="4"/>
  <c r="BN17" i="4" s="1"/>
  <c r="BO45" i="4"/>
  <c r="BO17" i="4" s="1"/>
  <c r="BP45" i="4"/>
  <c r="BP17" i="4" s="1"/>
  <c r="BQ45" i="4"/>
  <c r="BQ17" i="4" s="1"/>
  <c r="BR45" i="4"/>
  <c r="BR17" i="4" s="1"/>
  <c r="BS45" i="4"/>
  <c r="BS17" i="4" s="1"/>
  <c r="BT45" i="4"/>
  <c r="BT17" i="4" s="1"/>
  <c r="BU45" i="4"/>
  <c r="BU17" i="4" s="1"/>
  <c r="BV45" i="4"/>
  <c r="BV17" i="4" s="1"/>
  <c r="BW45" i="4"/>
  <c r="BW17" i="4" s="1"/>
  <c r="BX45" i="4"/>
  <c r="BX17" i="4" s="1"/>
  <c r="BY45" i="4"/>
  <c r="BY17" i="4" s="1"/>
  <c r="BZ45" i="4"/>
  <c r="BZ17" i="4" s="1"/>
  <c r="CA45" i="4"/>
  <c r="CA17" i="4" s="1"/>
  <c r="CB45" i="4"/>
  <c r="CB17" i="4" s="1"/>
  <c r="CC45" i="4"/>
  <c r="CC17" i="4" s="1"/>
  <c r="CD45" i="4"/>
  <c r="CD17" i="4" s="1"/>
  <c r="CE45" i="4"/>
  <c r="CE17" i="4" s="1"/>
  <c r="CF45" i="4"/>
  <c r="CF17" i="4" s="1"/>
  <c r="CG45" i="4"/>
  <c r="CG17" i="4" s="1"/>
  <c r="CH45" i="4"/>
  <c r="CH17" i="4" s="1"/>
  <c r="CI45" i="4"/>
  <c r="CI17" i="4" s="1"/>
  <c r="CJ45" i="4"/>
  <c r="CJ17" i="4" s="1"/>
  <c r="CK45" i="4"/>
  <c r="CK17" i="4" s="1"/>
  <c r="CL45" i="4"/>
  <c r="CL17" i="4" s="1"/>
  <c r="G46" i="4"/>
  <c r="G18" i="4" s="1"/>
  <c r="H46" i="4"/>
  <c r="H18" i="4" s="1"/>
  <c r="I46" i="4"/>
  <c r="I18" i="4" s="1"/>
  <c r="J46" i="4"/>
  <c r="J18" i="4" s="1"/>
  <c r="K46" i="4"/>
  <c r="K18" i="4" s="1"/>
  <c r="L46" i="4"/>
  <c r="L18" i="4" s="1"/>
  <c r="M46" i="4"/>
  <c r="M18" i="4" s="1"/>
  <c r="N46" i="4"/>
  <c r="N18" i="4" s="1"/>
  <c r="O46" i="4"/>
  <c r="O18" i="4" s="1"/>
  <c r="P46" i="4"/>
  <c r="P18" i="4" s="1"/>
  <c r="Q46" i="4"/>
  <c r="Q18" i="4" s="1"/>
  <c r="R46" i="4"/>
  <c r="R18" i="4" s="1"/>
  <c r="S46" i="4"/>
  <c r="S18" i="4" s="1"/>
  <c r="T46" i="4"/>
  <c r="T18" i="4" s="1"/>
  <c r="U46" i="4"/>
  <c r="U18" i="4" s="1"/>
  <c r="V46" i="4"/>
  <c r="V18" i="4" s="1"/>
  <c r="W46" i="4"/>
  <c r="W18" i="4" s="1"/>
  <c r="X46" i="4"/>
  <c r="X18" i="4" s="1"/>
  <c r="Y46" i="4"/>
  <c r="Y18" i="4" s="1"/>
  <c r="Z46" i="4"/>
  <c r="Z18" i="4" s="1"/>
  <c r="AA46" i="4"/>
  <c r="AA18" i="4" s="1"/>
  <c r="AB46" i="4"/>
  <c r="AB18" i="4" s="1"/>
  <c r="AC46" i="4"/>
  <c r="AC18" i="4" s="1"/>
  <c r="AD46" i="4"/>
  <c r="AD18" i="4" s="1"/>
  <c r="AE46" i="4"/>
  <c r="AE18" i="4" s="1"/>
  <c r="AF46" i="4"/>
  <c r="AF18" i="4" s="1"/>
  <c r="AG46" i="4"/>
  <c r="AG18" i="4" s="1"/>
  <c r="AH46" i="4"/>
  <c r="AH18" i="4" s="1"/>
  <c r="AI46" i="4"/>
  <c r="AI18" i="4" s="1"/>
  <c r="AJ46" i="4"/>
  <c r="AJ18" i="4" s="1"/>
  <c r="AK46" i="4"/>
  <c r="AK18" i="4" s="1"/>
  <c r="AL46" i="4"/>
  <c r="AL18" i="4" s="1"/>
  <c r="AM46" i="4"/>
  <c r="AM18" i="4" s="1"/>
  <c r="AN46" i="4"/>
  <c r="AN18" i="4" s="1"/>
  <c r="AO46" i="4"/>
  <c r="AO18" i="4" s="1"/>
  <c r="AP46" i="4"/>
  <c r="AP18" i="4" s="1"/>
  <c r="AQ46" i="4"/>
  <c r="AQ18" i="4" s="1"/>
  <c r="AR46" i="4"/>
  <c r="AR18" i="4" s="1"/>
  <c r="AS46" i="4"/>
  <c r="AS18" i="4" s="1"/>
  <c r="AT46" i="4"/>
  <c r="AT18" i="4" s="1"/>
  <c r="AU46" i="4"/>
  <c r="AU18" i="4" s="1"/>
  <c r="AV46" i="4"/>
  <c r="AV18" i="4" s="1"/>
  <c r="AW46" i="4"/>
  <c r="AW18" i="4" s="1"/>
  <c r="AX46" i="4"/>
  <c r="AX18" i="4" s="1"/>
  <c r="AY46" i="4"/>
  <c r="AY18" i="4" s="1"/>
  <c r="AZ46" i="4"/>
  <c r="AZ18" i="4" s="1"/>
  <c r="BA46" i="4"/>
  <c r="BA18" i="4" s="1"/>
  <c r="BB46" i="4"/>
  <c r="BB18" i="4" s="1"/>
  <c r="BC46" i="4"/>
  <c r="BC18" i="4" s="1"/>
  <c r="BD46" i="4"/>
  <c r="BD18" i="4" s="1"/>
  <c r="BE46" i="4"/>
  <c r="BE18" i="4" s="1"/>
  <c r="BF46" i="4"/>
  <c r="BF18" i="4" s="1"/>
  <c r="BG46" i="4"/>
  <c r="BG18" i="4" s="1"/>
  <c r="BH46" i="4"/>
  <c r="BH18" i="4" s="1"/>
  <c r="BI46" i="4"/>
  <c r="BI18" i="4" s="1"/>
  <c r="BJ46" i="4"/>
  <c r="BJ18" i="4" s="1"/>
  <c r="BK46" i="4"/>
  <c r="BK18" i="4" s="1"/>
  <c r="BL46" i="4"/>
  <c r="BL18" i="4" s="1"/>
  <c r="BM46" i="4"/>
  <c r="BM18" i="4" s="1"/>
  <c r="BN46" i="4"/>
  <c r="BN18" i="4" s="1"/>
  <c r="BO46" i="4"/>
  <c r="BO18" i="4" s="1"/>
  <c r="BP46" i="4"/>
  <c r="BP18" i="4" s="1"/>
  <c r="BQ46" i="4"/>
  <c r="BQ18" i="4" s="1"/>
  <c r="BR46" i="4"/>
  <c r="BR18" i="4" s="1"/>
  <c r="BS46" i="4"/>
  <c r="BS18" i="4" s="1"/>
  <c r="BT46" i="4"/>
  <c r="BT18" i="4" s="1"/>
  <c r="BU46" i="4"/>
  <c r="BU18" i="4" s="1"/>
  <c r="BV46" i="4"/>
  <c r="BV18" i="4" s="1"/>
  <c r="BW46" i="4"/>
  <c r="BW18" i="4" s="1"/>
  <c r="BX46" i="4"/>
  <c r="BX18" i="4" s="1"/>
  <c r="BY46" i="4"/>
  <c r="BY18" i="4" s="1"/>
  <c r="BZ46" i="4"/>
  <c r="BZ18" i="4" s="1"/>
  <c r="CA46" i="4"/>
  <c r="CA18" i="4" s="1"/>
  <c r="CB46" i="4"/>
  <c r="CB18" i="4" s="1"/>
  <c r="CC46" i="4"/>
  <c r="CC18" i="4" s="1"/>
  <c r="CD46" i="4"/>
  <c r="CD18" i="4" s="1"/>
  <c r="CE46" i="4"/>
  <c r="CE18" i="4" s="1"/>
  <c r="CF46" i="4"/>
  <c r="CF18" i="4" s="1"/>
  <c r="CG46" i="4"/>
  <c r="CG18" i="4" s="1"/>
  <c r="CH46" i="4"/>
  <c r="CH18" i="4" s="1"/>
  <c r="CI46" i="4"/>
  <c r="CI18" i="4" s="1"/>
  <c r="CJ46" i="4"/>
  <c r="CJ18" i="4" s="1"/>
  <c r="CK46" i="4"/>
  <c r="CK18" i="4" s="1"/>
  <c r="CL46" i="4"/>
  <c r="CL18" i="4" s="1"/>
  <c r="G47" i="4"/>
  <c r="G19" i="4" s="1"/>
  <c r="H47" i="4"/>
  <c r="H19" i="4" s="1"/>
  <c r="I47" i="4"/>
  <c r="I19" i="4" s="1"/>
  <c r="J47" i="4"/>
  <c r="J19" i="4" s="1"/>
  <c r="K47" i="4"/>
  <c r="K19" i="4" s="1"/>
  <c r="L47" i="4"/>
  <c r="L19" i="4" s="1"/>
  <c r="M47" i="4"/>
  <c r="M19" i="4" s="1"/>
  <c r="N47" i="4"/>
  <c r="N19" i="4" s="1"/>
  <c r="O47" i="4"/>
  <c r="O19" i="4" s="1"/>
  <c r="P47" i="4"/>
  <c r="P19" i="4" s="1"/>
  <c r="Q47" i="4"/>
  <c r="Q19" i="4" s="1"/>
  <c r="R47" i="4"/>
  <c r="R19" i="4" s="1"/>
  <c r="S47" i="4"/>
  <c r="S19" i="4" s="1"/>
  <c r="T47" i="4"/>
  <c r="T19" i="4" s="1"/>
  <c r="U47" i="4"/>
  <c r="U19" i="4" s="1"/>
  <c r="V47" i="4"/>
  <c r="V19" i="4" s="1"/>
  <c r="W47" i="4"/>
  <c r="W19" i="4" s="1"/>
  <c r="X47" i="4"/>
  <c r="X19" i="4" s="1"/>
  <c r="Y47" i="4"/>
  <c r="Y19" i="4" s="1"/>
  <c r="Z47" i="4"/>
  <c r="Z19" i="4" s="1"/>
  <c r="AA47" i="4"/>
  <c r="AA19" i="4" s="1"/>
  <c r="AB47" i="4"/>
  <c r="AB19" i="4" s="1"/>
  <c r="AC47" i="4"/>
  <c r="AC19" i="4" s="1"/>
  <c r="AD47" i="4"/>
  <c r="AD19" i="4" s="1"/>
  <c r="AE47" i="4"/>
  <c r="AE19" i="4" s="1"/>
  <c r="AF47" i="4"/>
  <c r="AF19" i="4" s="1"/>
  <c r="AG47" i="4"/>
  <c r="AG19" i="4" s="1"/>
  <c r="AH47" i="4"/>
  <c r="AH19" i="4" s="1"/>
  <c r="AI47" i="4"/>
  <c r="AI19" i="4" s="1"/>
  <c r="AJ47" i="4"/>
  <c r="AJ19" i="4" s="1"/>
  <c r="AK47" i="4"/>
  <c r="AK19" i="4" s="1"/>
  <c r="AL47" i="4"/>
  <c r="AL19" i="4" s="1"/>
  <c r="AM47" i="4"/>
  <c r="AM19" i="4" s="1"/>
  <c r="AN47" i="4"/>
  <c r="AN19" i="4" s="1"/>
  <c r="AO47" i="4"/>
  <c r="AO19" i="4" s="1"/>
  <c r="AP47" i="4"/>
  <c r="AP19" i="4" s="1"/>
  <c r="AQ47" i="4"/>
  <c r="AQ19" i="4" s="1"/>
  <c r="AR47" i="4"/>
  <c r="AR19" i="4" s="1"/>
  <c r="AS47" i="4"/>
  <c r="AS19" i="4" s="1"/>
  <c r="AT47" i="4"/>
  <c r="AT19" i="4" s="1"/>
  <c r="AU47" i="4"/>
  <c r="AU19" i="4" s="1"/>
  <c r="AV47" i="4"/>
  <c r="AV19" i="4" s="1"/>
  <c r="AW47" i="4"/>
  <c r="AW19" i="4" s="1"/>
  <c r="AX47" i="4"/>
  <c r="AX19" i="4" s="1"/>
  <c r="AY47" i="4"/>
  <c r="AY19" i="4" s="1"/>
  <c r="AZ47" i="4"/>
  <c r="AZ19" i="4" s="1"/>
  <c r="BA47" i="4"/>
  <c r="BA19" i="4" s="1"/>
  <c r="BB47" i="4"/>
  <c r="BB19" i="4" s="1"/>
  <c r="BC47" i="4"/>
  <c r="BC19" i="4" s="1"/>
  <c r="BD47" i="4"/>
  <c r="BD19" i="4" s="1"/>
  <c r="BE47" i="4"/>
  <c r="BE19" i="4" s="1"/>
  <c r="BF47" i="4"/>
  <c r="BF19" i="4" s="1"/>
  <c r="BG47" i="4"/>
  <c r="BG19" i="4" s="1"/>
  <c r="BH47" i="4"/>
  <c r="BH19" i="4" s="1"/>
  <c r="BI47" i="4"/>
  <c r="BI19" i="4" s="1"/>
  <c r="BJ47" i="4"/>
  <c r="BJ19" i="4" s="1"/>
  <c r="BK47" i="4"/>
  <c r="BK19" i="4" s="1"/>
  <c r="BL47" i="4"/>
  <c r="BL19" i="4" s="1"/>
  <c r="BM47" i="4"/>
  <c r="BM19" i="4" s="1"/>
  <c r="BN47" i="4"/>
  <c r="BN19" i="4" s="1"/>
  <c r="BO47" i="4"/>
  <c r="BO19" i="4" s="1"/>
  <c r="BP47" i="4"/>
  <c r="BP19" i="4" s="1"/>
  <c r="BQ47" i="4"/>
  <c r="BQ19" i="4" s="1"/>
  <c r="BR47" i="4"/>
  <c r="BR19" i="4" s="1"/>
  <c r="BS47" i="4"/>
  <c r="BS19" i="4" s="1"/>
  <c r="BT47" i="4"/>
  <c r="BT19" i="4" s="1"/>
  <c r="BU47" i="4"/>
  <c r="BU19" i="4" s="1"/>
  <c r="BV47" i="4"/>
  <c r="BV19" i="4" s="1"/>
  <c r="BW47" i="4"/>
  <c r="BW19" i="4" s="1"/>
  <c r="BX47" i="4"/>
  <c r="BX19" i="4" s="1"/>
  <c r="BY47" i="4"/>
  <c r="BY19" i="4" s="1"/>
  <c r="BZ47" i="4"/>
  <c r="BZ19" i="4" s="1"/>
  <c r="CA47" i="4"/>
  <c r="CA19" i="4" s="1"/>
  <c r="CB47" i="4"/>
  <c r="CB19" i="4" s="1"/>
  <c r="CC47" i="4"/>
  <c r="CC19" i="4" s="1"/>
  <c r="CD47" i="4"/>
  <c r="CD19" i="4" s="1"/>
  <c r="CE47" i="4"/>
  <c r="CE19" i="4" s="1"/>
  <c r="CF47" i="4"/>
  <c r="CF19" i="4" s="1"/>
  <c r="CG47" i="4"/>
  <c r="CG19" i="4" s="1"/>
  <c r="CH47" i="4"/>
  <c r="CH19" i="4" s="1"/>
  <c r="CI47" i="4"/>
  <c r="CI19" i="4" s="1"/>
  <c r="CJ47" i="4"/>
  <c r="CJ19" i="4" s="1"/>
  <c r="CK47" i="4"/>
  <c r="CK19" i="4" s="1"/>
  <c r="CL47" i="4"/>
  <c r="CL19" i="4" s="1"/>
  <c r="G48" i="4"/>
  <c r="G20" i="4" s="1"/>
  <c r="H48" i="4"/>
  <c r="H20" i="4" s="1"/>
  <c r="I48" i="4"/>
  <c r="I20" i="4" s="1"/>
  <c r="J48" i="4"/>
  <c r="J20" i="4" s="1"/>
  <c r="K48" i="4"/>
  <c r="K20" i="4" s="1"/>
  <c r="L48" i="4"/>
  <c r="L20" i="4" s="1"/>
  <c r="M48" i="4"/>
  <c r="M20" i="4" s="1"/>
  <c r="N48" i="4"/>
  <c r="N20" i="4" s="1"/>
  <c r="O48" i="4"/>
  <c r="O20" i="4" s="1"/>
  <c r="P48" i="4"/>
  <c r="P20" i="4" s="1"/>
  <c r="Q48" i="4"/>
  <c r="Q20" i="4" s="1"/>
  <c r="R48" i="4"/>
  <c r="R20" i="4" s="1"/>
  <c r="S48" i="4"/>
  <c r="S20" i="4" s="1"/>
  <c r="T48" i="4"/>
  <c r="T20" i="4" s="1"/>
  <c r="U48" i="4"/>
  <c r="U20" i="4" s="1"/>
  <c r="V48" i="4"/>
  <c r="V20" i="4" s="1"/>
  <c r="W48" i="4"/>
  <c r="W20" i="4" s="1"/>
  <c r="X48" i="4"/>
  <c r="X20" i="4" s="1"/>
  <c r="Y48" i="4"/>
  <c r="Y20" i="4" s="1"/>
  <c r="Z48" i="4"/>
  <c r="Z20" i="4" s="1"/>
  <c r="AA48" i="4"/>
  <c r="AA20" i="4" s="1"/>
  <c r="AB48" i="4"/>
  <c r="AB20" i="4" s="1"/>
  <c r="AC48" i="4"/>
  <c r="AC20" i="4" s="1"/>
  <c r="AD48" i="4"/>
  <c r="AD20" i="4" s="1"/>
  <c r="AE48" i="4"/>
  <c r="AE20" i="4" s="1"/>
  <c r="AF48" i="4"/>
  <c r="AF20" i="4" s="1"/>
  <c r="AG48" i="4"/>
  <c r="AG20" i="4" s="1"/>
  <c r="AH48" i="4"/>
  <c r="AH20" i="4" s="1"/>
  <c r="AI48" i="4"/>
  <c r="AI20" i="4" s="1"/>
  <c r="AJ48" i="4"/>
  <c r="AJ20" i="4" s="1"/>
  <c r="AK48" i="4"/>
  <c r="AK20" i="4" s="1"/>
  <c r="AL48" i="4"/>
  <c r="AL20" i="4" s="1"/>
  <c r="AM48" i="4"/>
  <c r="AM20" i="4" s="1"/>
  <c r="AN48" i="4"/>
  <c r="AN20" i="4" s="1"/>
  <c r="AO48" i="4"/>
  <c r="AO20" i="4" s="1"/>
  <c r="AP48" i="4"/>
  <c r="AP20" i="4" s="1"/>
  <c r="AQ48" i="4"/>
  <c r="AQ20" i="4" s="1"/>
  <c r="AR48" i="4"/>
  <c r="AR20" i="4" s="1"/>
  <c r="AS48" i="4"/>
  <c r="AS20" i="4" s="1"/>
  <c r="AT48" i="4"/>
  <c r="AT20" i="4" s="1"/>
  <c r="AU48" i="4"/>
  <c r="AU20" i="4" s="1"/>
  <c r="AV48" i="4"/>
  <c r="AV20" i="4" s="1"/>
  <c r="AW48" i="4"/>
  <c r="AW20" i="4" s="1"/>
  <c r="AX48" i="4"/>
  <c r="AX20" i="4" s="1"/>
  <c r="AY48" i="4"/>
  <c r="AY20" i="4" s="1"/>
  <c r="AZ48" i="4"/>
  <c r="AZ20" i="4" s="1"/>
  <c r="BA48" i="4"/>
  <c r="BA20" i="4" s="1"/>
  <c r="BB48" i="4"/>
  <c r="BB20" i="4" s="1"/>
  <c r="BC48" i="4"/>
  <c r="BC20" i="4" s="1"/>
  <c r="BD48" i="4"/>
  <c r="BD20" i="4" s="1"/>
  <c r="BE48" i="4"/>
  <c r="BE20" i="4" s="1"/>
  <c r="BF48" i="4"/>
  <c r="BF20" i="4" s="1"/>
  <c r="BG48" i="4"/>
  <c r="BG20" i="4" s="1"/>
  <c r="BH48" i="4"/>
  <c r="BH20" i="4" s="1"/>
  <c r="BI48" i="4"/>
  <c r="BI20" i="4" s="1"/>
  <c r="BJ48" i="4"/>
  <c r="BJ20" i="4" s="1"/>
  <c r="BK48" i="4"/>
  <c r="BK20" i="4" s="1"/>
  <c r="BL48" i="4"/>
  <c r="BL20" i="4" s="1"/>
  <c r="BM48" i="4"/>
  <c r="BM20" i="4" s="1"/>
  <c r="BN48" i="4"/>
  <c r="BN20" i="4" s="1"/>
  <c r="BO48" i="4"/>
  <c r="BO20" i="4" s="1"/>
  <c r="BP48" i="4"/>
  <c r="BP20" i="4" s="1"/>
  <c r="BQ48" i="4"/>
  <c r="BQ20" i="4" s="1"/>
  <c r="BR48" i="4"/>
  <c r="BR20" i="4" s="1"/>
  <c r="BS48" i="4"/>
  <c r="BS20" i="4" s="1"/>
  <c r="BT48" i="4"/>
  <c r="BT20" i="4" s="1"/>
  <c r="BU48" i="4"/>
  <c r="BU20" i="4" s="1"/>
  <c r="BV48" i="4"/>
  <c r="BV20" i="4" s="1"/>
  <c r="BW48" i="4"/>
  <c r="BW20" i="4" s="1"/>
  <c r="BX48" i="4"/>
  <c r="BX20" i="4" s="1"/>
  <c r="BY48" i="4"/>
  <c r="BY20" i="4" s="1"/>
  <c r="BZ48" i="4"/>
  <c r="BZ20" i="4" s="1"/>
  <c r="CA48" i="4"/>
  <c r="CA20" i="4" s="1"/>
  <c r="CB48" i="4"/>
  <c r="CB20" i="4" s="1"/>
  <c r="CC48" i="4"/>
  <c r="CC20" i="4" s="1"/>
  <c r="CD48" i="4"/>
  <c r="CD20" i="4" s="1"/>
  <c r="CE48" i="4"/>
  <c r="CE20" i="4" s="1"/>
  <c r="CF48" i="4"/>
  <c r="CF20" i="4" s="1"/>
  <c r="CG48" i="4"/>
  <c r="CG20" i="4" s="1"/>
  <c r="CH48" i="4"/>
  <c r="CH20" i="4" s="1"/>
  <c r="CI48" i="4"/>
  <c r="CI20" i="4" s="1"/>
  <c r="CJ48" i="4"/>
  <c r="CJ20" i="4" s="1"/>
  <c r="CK48" i="4"/>
  <c r="CK20" i="4" s="1"/>
  <c r="CL48" i="4"/>
  <c r="CL20" i="4" s="1"/>
  <c r="G49" i="4"/>
  <c r="G21" i="4" s="1"/>
  <c r="H49" i="4"/>
  <c r="H21" i="4" s="1"/>
  <c r="I49" i="4"/>
  <c r="I21" i="4" s="1"/>
  <c r="J49" i="4"/>
  <c r="J21" i="4" s="1"/>
  <c r="K49" i="4"/>
  <c r="K21" i="4" s="1"/>
  <c r="L49" i="4"/>
  <c r="L21" i="4" s="1"/>
  <c r="M49" i="4"/>
  <c r="M21" i="4" s="1"/>
  <c r="N49" i="4"/>
  <c r="N21" i="4" s="1"/>
  <c r="O49" i="4"/>
  <c r="O21" i="4" s="1"/>
  <c r="P49" i="4"/>
  <c r="P21" i="4" s="1"/>
  <c r="Q49" i="4"/>
  <c r="Q21" i="4" s="1"/>
  <c r="R49" i="4"/>
  <c r="R21" i="4" s="1"/>
  <c r="S49" i="4"/>
  <c r="S21" i="4" s="1"/>
  <c r="T49" i="4"/>
  <c r="T21" i="4" s="1"/>
  <c r="U49" i="4"/>
  <c r="U21" i="4" s="1"/>
  <c r="V49" i="4"/>
  <c r="V21" i="4" s="1"/>
  <c r="W49" i="4"/>
  <c r="W21" i="4" s="1"/>
  <c r="X49" i="4"/>
  <c r="X21" i="4" s="1"/>
  <c r="Y49" i="4"/>
  <c r="Y21" i="4" s="1"/>
  <c r="Z49" i="4"/>
  <c r="Z21" i="4" s="1"/>
  <c r="AA49" i="4"/>
  <c r="AA21" i="4" s="1"/>
  <c r="AB49" i="4"/>
  <c r="AB21" i="4" s="1"/>
  <c r="AC49" i="4"/>
  <c r="AC21" i="4" s="1"/>
  <c r="AD49" i="4"/>
  <c r="AD21" i="4" s="1"/>
  <c r="AE49" i="4"/>
  <c r="AE21" i="4" s="1"/>
  <c r="AF49" i="4"/>
  <c r="AF21" i="4" s="1"/>
  <c r="AG49" i="4"/>
  <c r="AG21" i="4" s="1"/>
  <c r="AH49" i="4"/>
  <c r="AH21" i="4" s="1"/>
  <c r="AI49" i="4"/>
  <c r="AI21" i="4" s="1"/>
  <c r="AJ49" i="4"/>
  <c r="AJ21" i="4" s="1"/>
  <c r="AK49" i="4"/>
  <c r="AK21" i="4" s="1"/>
  <c r="AL49" i="4"/>
  <c r="AL21" i="4" s="1"/>
  <c r="AM49" i="4"/>
  <c r="AM21" i="4" s="1"/>
  <c r="AN49" i="4"/>
  <c r="AN21" i="4" s="1"/>
  <c r="AO49" i="4"/>
  <c r="AO21" i="4" s="1"/>
  <c r="AP49" i="4"/>
  <c r="AP21" i="4" s="1"/>
  <c r="AQ49" i="4"/>
  <c r="AQ21" i="4" s="1"/>
  <c r="AR49" i="4"/>
  <c r="AR21" i="4" s="1"/>
  <c r="AS49" i="4"/>
  <c r="AS21" i="4" s="1"/>
  <c r="AT49" i="4"/>
  <c r="AT21" i="4" s="1"/>
  <c r="AU49" i="4"/>
  <c r="AU21" i="4" s="1"/>
  <c r="AV49" i="4"/>
  <c r="AV21" i="4" s="1"/>
  <c r="AW49" i="4"/>
  <c r="AW21" i="4" s="1"/>
  <c r="AX49" i="4"/>
  <c r="AX21" i="4" s="1"/>
  <c r="AY49" i="4"/>
  <c r="AY21" i="4" s="1"/>
  <c r="AZ49" i="4"/>
  <c r="AZ21" i="4" s="1"/>
  <c r="BA49" i="4"/>
  <c r="BA21" i="4" s="1"/>
  <c r="BB49" i="4"/>
  <c r="BB21" i="4" s="1"/>
  <c r="BC49" i="4"/>
  <c r="BC21" i="4" s="1"/>
  <c r="BD49" i="4"/>
  <c r="BD21" i="4" s="1"/>
  <c r="BE49" i="4"/>
  <c r="BE21" i="4" s="1"/>
  <c r="BF49" i="4"/>
  <c r="BF21" i="4" s="1"/>
  <c r="BG49" i="4"/>
  <c r="BG21" i="4" s="1"/>
  <c r="BH49" i="4"/>
  <c r="BH21" i="4" s="1"/>
  <c r="BI49" i="4"/>
  <c r="BI21" i="4" s="1"/>
  <c r="BJ49" i="4"/>
  <c r="BJ21" i="4" s="1"/>
  <c r="BK49" i="4"/>
  <c r="BK21" i="4" s="1"/>
  <c r="BL49" i="4"/>
  <c r="BL21" i="4" s="1"/>
  <c r="BM49" i="4"/>
  <c r="BM21" i="4" s="1"/>
  <c r="BN49" i="4"/>
  <c r="BN21" i="4" s="1"/>
  <c r="BO49" i="4"/>
  <c r="BO21" i="4" s="1"/>
  <c r="BP49" i="4"/>
  <c r="BP21" i="4" s="1"/>
  <c r="BQ49" i="4"/>
  <c r="BQ21" i="4" s="1"/>
  <c r="BR49" i="4"/>
  <c r="BR21" i="4" s="1"/>
  <c r="BS49" i="4"/>
  <c r="BS21" i="4" s="1"/>
  <c r="BT49" i="4"/>
  <c r="BT21" i="4" s="1"/>
  <c r="BU49" i="4"/>
  <c r="BU21" i="4" s="1"/>
  <c r="BV49" i="4"/>
  <c r="BV21" i="4" s="1"/>
  <c r="BW49" i="4"/>
  <c r="BW21" i="4" s="1"/>
  <c r="BX49" i="4"/>
  <c r="BX21" i="4" s="1"/>
  <c r="BY49" i="4"/>
  <c r="BY21" i="4" s="1"/>
  <c r="BZ49" i="4"/>
  <c r="BZ21" i="4" s="1"/>
  <c r="CA49" i="4"/>
  <c r="CA21" i="4" s="1"/>
  <c r="CB49" i="4"/>
  <c r="CB21" i="4" s="1"/>
  <c r="CC49" i="4"/>
  <c r="CC21" i="4" s="1"/>
  <c r="CD49" i="4"/>
  <c r="CD21" i="4" s="1"/>
  <c r="CE49" i="4"/>
  <c r="CE21" i="4" s="1"/>
  <c r="CF49" i="4"/>
  <c r="CF21" i="4" s="1"/>
  <c r="CG49" i="4"/>
  <c r="CG21" i="4" s="1"/>
  <c r="CH49" i="4"/>
  <c r="CH21" i="4" s="1"/>
  <c r="CI49" i="4"/>
  <c r="CI21" i="4" s="1"/>
  <c r="CJ49" i="4"/>
  <c r="CJ21" i="4" s="1"/>
  <c r="CK49" i="4"/>
  <c r="CK21" i="4" s="1"/>
  <c r="CL49" i="4"/>
  <c r="CL21" i="4" s="1"/>
  <c r="G50" i="4"/>
  <c r="G22" i="4" s="1"/>
  <c r="H50" i="4"/>
  <c r="H22" i="4" s="1"/>
  <c r="I50" i="4"/>
  <c r="I22" i="4" s="1"/>
  <c r="J50" i="4"/>
  <c r="J22" i="4" s="1"/>
  <c r="K50" i="4"/>
  <c r="K22" i="4" s="1"/>
  <c r="L50" i="4"/>
  <c r="L22" i="4" s="1"/>
  <c r="M50" i="4"/>
  <c r="M22" i="4" s="1"/>
  <c r="N50" i="4"/>
  <c r="N22" i="4" s="1"/>
  <c r="O50" i="4"/>
  <c r="O22" i="4" s="1"/>
  <c r="P50" i="4"/>
  <c r="P22" i="4" s="1"/>
  <c r="Q50" i="4"/>
  <c r="Q22" i="4" s="1"/>
  <c r="R50" i="4"/>
  <c r="R22" i="4" s="1"/>
  <c r="S50" i="4"/>
  <c r="S22" i="4" s="1"/>
  <c r="T50" i="4"/>
  <c r="T22" i="4" s="1"/>
  <c r="U50" i="4"/>
  <c r="U22" i="4" s="1"/>
  <c r="V50" i="4"/>
  <c r="V22" i="4" s="1"/>
  <c r="W50" i="4"/>
  <c r="W22" i="4" s="1"/>
  <c r="X50" i="4"/>
  <c r="X22" i="4" s="1"/>
  <c r="Y50" i="4"/>
  <c r="Y22" i="4" s="1"/>
  <c r="Z50" i="4"/>
  <c r="Z22" i="4" s="1"/>
  <c r="AA50" i="4"/>
  <c r="AA22" i="4" s="1"/>
  <c r="AB50" i="4"/>
  <c r="AB22" i="4" s="1"/>
  <c r="AC50" i="4"/>
  <c r="AC22" i="4" s="1"/>
  <c r="AD50" i="4"/>
  <c r="AD22" i="4" s="1"/>
  <c r="AE50" i="4"/>
  <c r="AE22" i="4" s="1"/>
  <c r="AF50" i="4"/>
  <c r="AF22" i="4" s="1"/>
  <c r="AG50" i="4"/>
  <c r="AG22" i="4" s="1"/>
  <c r="AH50" i="4"/>
  <c r="AH22" i="4" s="1"/>
  <c r="AI50" i="4"/>
  <c r="AI22" i="4" s="1"/>
  <c r="AJ50" i="4"/>
  <c r="AJ22" i="4" s="1"/>
  <c r="AK50" i="4"/>
  <c r="AK22" i="4" s="1"/>
  <c r="AL50" i="4"/>
  <c r="AL22" i="4" s="1"/>
  <c r="AM50" i="4"/>
  <c r="AM22" i="4" s="1"/>
  <c r="AN50" i="4"/>
  <c r="AN22" i="4" s="1"/>
  <c r="AO50" i="4"/>
  <c r="AO22" i="4" s="1"/>
  <c r="AP50" i="4"/>
  <c r="AP22" i="4" s="1"/>
  <c r="AQ50" i="4"/>
  <c r="AQ22" i="4" s="1"/>
  <c r="AR50" i="4"/>
  <c r="AR22" i="4" s="1"/>
  <c r="AS50" i="4"/>
  <c r="AS22" i="4" s="1"/>
  <c r="AT50" i="4"/>
  <c r="AT22" i="4" s="1"/>
  <c r="AU50" i="4"/>
  <c r="AU22" i="4" s="1"/>
  <c r="AV50" i="4"/>
  <c r="AV22" i="4" s="1"/>
  <c r="AW50" i="4"/>
  <c r="AW22" i="4" s="1"/>
  <c r="AX50" i="4"/>
  <c r="AX22" i="4" s="1"/>
  <c r="AY50" i="4"/>
  <c r="AY22" i="4" s="1"/>
  <c r="AZ50" i="4"/>
  <c r="AZ22" i="4" s="1"/>
  <c r="BA50" i="4"/>
  <c r="BA22" i="4" s="1"/>
  <c r="BB50" i="4"/>
  <c r="BB22" i="4" s="1"/>
  <c r="BC50" i="4"/>
  <c r="BC22" i="4" s="1"/>
  <c r="BD50" i="4"/>
  <c r="BD22" i="4" s="1"/>
  <c r="BE50" i="4"/>
  <c r="BE22" i="4" s="1"/>
  <c r="BF50" i="4"/>
  <c r="BF22" i="4" s="1"/>
  <c r="BG50" i="4"/>
  <c r="BG22" i="4" s="1"/>
  <c r="BH50" i="4"/>
  <c r="BH22" i="4" s="1"/>
  <c r="BI50" i="4"/>
  <c r="BI22" i="4" s="1"/>
  <c r="BJ50" i="4"/>
  <c r="BJ22" i="4" s="1"/>
  <c r="BK50" i="4"/>
  <c r="BK22" i="4" s="1"/>
  <c r="BL50" i="4"/>
  <c r="BL22" i="4" s="1"/>
  <c r="BM50" i="4"/>
  <c r="BM22" i="4" s="1"/>
  <c r="BN50" i="4"/>
  <c r="BN22" i="4" s="1"/>
  <c r="BO50" i="4"/>
  <c r="BO22" i="4" s="1"/>
  <c r="BP50" i="4"/>
  <c r="BP22" i="4" s="1"/>
  <c r="BQ50" i="4"/>
  <c r="BQ22" i="4" s="1"/>
  <c r="BR50" i="4"/>
  <c r="BR22" i="4" s="1"/>
  <c r="BS50" i="4"/>
  <c r="BS22" i="4" s="1"/>
  <c r="BT50" i="4"/>
  <c r="BT22" i="4" s="1"/>
  <c r="BU50" i="4"/>
  <c r="BU22" i="4" s="1"/>
  <c r="BV50" i="4"/>
  <c r="BV22" i="4" s="1"/>
  <c r="BW50" i="4"/>
  <c r="BW22" i="4" s="1"/>
  <c r="BX50" i="4"/>
  <c r="BX22" i="4" s="1"/>
  <c r="BY50" i="4"/>
  <c r="BY22" i="4" s="1"/>
  <c r="BZ50" i="4"/>
  <c r="BZ22" i="4" s="1"/>
  <c r="CA50" i="4"/>
  <c r="CA22" i="4" s="1"/>
  <c r="CB50" i="4"/>
  <c r="CB22" i="4" s="1"/>
  <c r="CC50" i="4"/>
  <c r="CC22" i="4" s="1"/>
  <c r="CD50" i="4"/>
  <c r="CD22" i="4" s="1"/>
  <c r="CE50" i="4"/>
  <c r="CE22" i="4" s="1"/>
  <c r="CF50" i="4"/>
  <c r="CF22" i="4" s="1"/>
  <c r="CG50" i="4"/>
  <c r="CG22" i="4" s="1"/>
  <c r="CH50" i="4"/>
  <c r="CH22" i="4" s="1"/>
  <c r="CI50" i="4"/>
  <c r="CI22" i="4" s="1"/>
  <c r="CJ50" i="4"/>
  <c r="CJ22" i="4" s="1"/>
  <c r="CK50" i="4"/>
  <c r="CK22" i="4" s="1"/>
  <c r="CL50" i="4"/>
  <c r="CL22" i="4" s="1"/>
  <c r="G51" i="4"/>
  <c r="G23" i="4" s="1"/>
  <c r="H51" i="4"/>
  <c r="H23" i="4" s="1"/>
  <c r="I51" i="4"/>
  <c r="I23" i="4" s="1"/>
  <c r="J51" i="4"/>
  <c r="J23" i="4" s="1"/>
  <c r="K51" i="4"/>
  <c r="K23" i="4" s="1"/>
  <c r="L51" i="4"/>
  <c r="L23" i="4" s="1"/>
  <c r="M51" i="4"/>
  <c r="M23" i="4" s="1"/>
  <c r="N51" i="4"/>
  <c r="N23" i="4" s="1"/>
  <c r="O51" i="4"/>
  <c r="O23" i="4" s="1"/>
  <c r="P51" i="4"/>
  <c r="P23" i="4" s="1"/>
  <c r="Q51" i="4"/>
  <c r="Q23" i="4" s="1"/>
  <c r="R51" i="4"/>
  <c r="R23" i="4" s="1"/>
  <c r="S51" i="4"/>
  <c r="S23" i="4" s="1"/>
  <c r="T51" i="4"/>
  <c r="T23" i="4" s="1"/>
  <c r="U51" i="4"/>
  <c r="U23" i="4" s="1"/>
  <c r="V51" i="4"/>
  <c r="V23" i="4" s="1"/>
  <c r="W51" i="4"/>
  <c r="W23" i="4" s="1"/>
  <c r="X51" i="4"/>
  <c r="X23" i="4" s="1"/>
  <c r="Y51" i="4"/>
  <c r="Y23" i="4" s="1"/>
  <c r="Z51" i="4"/>
  <c r="Z23" i="4" s="1"/>
  <c r="AA51" i="4"/>
  <c r="AA23" i="4" s="1"/>
  <c r="AB51" i="4"/>
  <c r="AB23" i="4" s="1"/>
  <c r="AC51" i="4"/>
  <c r="AC23" i="4" s="1"/>
  <c r="AD51" i="4"/>
  <c r="AD23" i="4" s="1"/>
  <c r="AE51" i="4"/>
  <c r="AE23" i="4" s="1"/>
  <c r="AF51" i="4"/>
  <c r="AF23" i="4" s="1"/>
  <c r="AG51" i="4"/>
  <c r="AG23" i="4" s="1"/>
  <c r="AH51" i="4"/>
  <c r="AH23" i="4" s="1"/>
  <c r="AI51" i="4"/>
  <c r="AI23" i="4" s="1"/>
  <c r="AJ51" i="4"/>
  <c r="AJ23" i="4" s="1"/>
  <c r="AK51" i="4"/>
  <c r="AK23" i="4" s="1"/>
  <c r="AL51" i="4"/>
  <c r="AL23" i="4" s="1"/>
  <c r="AM51" i="4"/>
  <c r="AM23" i="4" s="1"/>
  <c r="AN51" i="4"/>
  <c r="AN23" i="4" s="1"/>
  <c r="AO51" i="4"/>
  <c r="AO23" i="4" s="1"/>
  <c r="AP51" i="4"/>
  <c r="AP23" i="4" s="1"/>
  <c r="AQ51" i="4"/>
  <c r="AQ23" i="4" s="1"/>
  <c r="AR51" i="4"/>
  <c r="AR23" i="4" s="1"/>
  <c r="AS51" i="4"/>
  <c r="AS23" i="4" s="1"/>
  <c r="AT51" i="4"/>
  <c r="AT23" i="4" s="1"/>
  <c r="AU51" i="4"/>
  <c r="AU23" i="4" s="1"/>
  <c r="AV51" i="4"/>
  <c r="AV23" i="4" s="1"/>
  <c r="AW51" i="4"/>
  <c r="AW23" i="4" s="1"/>
  <c r="AX51" i="4"/>
  <c r="AX23" i="4" s="1"/>
  <c r="AY51" i="4"/>
  <c r="AY23" i="4" s="1"/>
  <c r="AZ51" i="4"/>
  <c r="AZ23" i="4" s="1"/>
  <c r="BA51" i="4"/>
  <c r="BA23" i="4" s="1"/>
  <c r="BB51" i="4"/>
  <c r="BB23" i="4" s="1"/>
  <c r="BC51" i="4"/>
  <c r="BC23" i="4" s="1"/>
  <c r="BD51" i="4"/>
  <c r="BD23" i="4" s="1"/>
  <c r="BE51" i="4"/>
  <c r="BE23" i="4" s="1"/>
  <c r="BF51" i="4"/>
  <c r="BF23" i="4" s="1"/>
  <c r="BG51" i="4"/>
  <c r="BG23" i="4" s="1"/>
  <c r="BH51" i="4"/>
  <c r="BH23" i="4" s="1"/>
  <c r="BI51" i="4"/>
  <c r="BI23" i="4" s="1"/>
  <c r="BJ51" i="4"/>
  <c r="BJ23" i="4" s="1"/>
  <c r="BK51" i="4"/>
  <c r="BK23" i="4" s="1"/>
  <c r="BL51" i="4"/>
  <c r="BL23" i="4" s="1"/>
  <c r="BM51" i="4"/>
  <c r="BM23" i="4" s="1"/>
  <c r="BN51" i="4"/>
  <c r="BN23" i="4" s="1"/>
  <c r="BO51" i="4"/>
  <c r="BO23" i="4" s="1"/>
  <c r="BP51" i="4"/>
  <c r="BP23" i="4" s="1"/>
  <c r="BQ51" i="4"/>
  <c r="BQ23" i="4" s="1"/>
  <c r="BR51" i="4"/>
  <c r="BR23" i="4" s="1"/>
  <c r="BS51" i="4"/>
  <c r="BS23" i="4" s="1"/>
  <c r="BT51" i="4"/>
  <c r="BT23" i="4" s="1"/>
  <c r="BU51" i="4"/>
  <c r="BU23" i="4" s="1"/>
  <c r="BV51" i="4"/>
  <c r="BV23" i="4" s="1"/>
  <c r="BW51" i="4"/>
  <c r="BW23" i="4" s="1"/>
  <c r="BX51" i="4"/>
  <c r="BX23" i="4" s="1"/>
  <c r="BY51" i="4"/>
  <c r="BY23" i="4" s="1"/>
  <c r="BZ51" i="4"/>
  <c r="BZ23" i="4" s="1"/>
  <c r="CA51" i="4"/>
  <c r="CA23" i="4" s="1"/>
  <c r="CB51" i="4"/>
  <c r="CB23" i="4" s="1"/>
  <c r="CC51" i="4"/>
  <c r="CC23" i="4" s="1"/>
  <c r="CD51" i="4"/>
  <c r="CD23" i="4" s="1"/>
  <c r="CE51" i="4"/>
  <c r="CE23" i="4" s="1"/>
  <c r="CF51" i="4"/>
  <c r="CF23" i="4" s="1"/>
  <c r="CG51" i="4"/>
  <c r="CG23" i="4" s="1"/>
  <c r="CH51" i="4"/>
  <c r="CH23" i="4" s="1"/>
  <c r="CI51" i="4"/>
  <c r="CI23" i="4" s="1"/>
  <c r="CJ51" i="4"/>
  <c r="CJ23" i="4" s="1"/>
  <c r="CK51" i="4"/>
  <c r="CK23" i="4" s="1"/>
  <c r="CL51" i="4"/>
  <c r="CL23" i="4" s="1"/>
  <c r="G52" i="4"/>
  <c r="G24" i="4" s="1"/>
  <c r="H52" i="4"/>
  <c r="H24" i="4" s="1"/>
  <c r="I52" i="4"/>
  <c r="I24" i="4" s="1"/>
  <c r="J52" i="4"/>
  <c r="J24" i="4" s="1"/>
  <c r="K52" i="4"/>
  <c r="K24" i="4" s="1"/>
  <c r="L52" i="4"/>
  <c r="L24" i="4" s="1"/>
  <c r="M52" i="4"/>
  <c r="M24" i="4" s="1"/>
  <c r="N52" i="4"/>
  <c r="N24" i="4" s="1"/>
  <c r="O52" i="4"/>
  <c r="O24" i="4" s="1"/>
  <c r="P52" i="4"/>
  <c r="P24" i="4" s="1"/>
  <c r="Q52" i="4"/>
  <c r="Q24" i="4" s="1"/>
  <c r="R52" i="4"/>
  <c r="R24" i="4" s="1"/>
  <c r="S52" i="4"/>
  <c r="S24" i="4" s="1"/>
  <c r="T52" i="4"/>
  <c r="T24" i="4" s="1"/>
  <c r="U52" i="4"/>
  <c r="U24" i="4" s="1"/>
  <c r="V52" i="4"/>
  <c r="V24" i="4" s="1"/>
  <c r="W52" i="4"/>
  <c r="W24" i="4" s="1"/>
  <c r="X52" i="4"/>
  <c r="X24" i="4" s="1"/>
  <c r="Y52" i="4"/>
  <c r="Y24" i="4" s="1"/>
  <c r="Z52" i="4"/>
  <c r="Z24" i="4" s="1"/>
  <c r="AA52" i="4"/>
  <c r="AA24" i="4" s="1"/>
  <c r="AB52" i="4"/>
  <c r="AB24" i="4" s="1"/>
  <c r="AC52" i="4"/>
  <c r="AC24" i="4" s="1"/>
  <c r="AD52" i="4"/>
  <c r="AD24" i="4" s="1"/>
  <c r="AE52" i="4"/>
  <c r="AE24" i="4" s="1"/>
  <c r="AF52" i="4"/>
  <c r="AF24" i="4" s="1"/>
  <c r="AG52" i="4"/>
  <c r="AG24" i="4" s="1"/>
  <c r="AH52" i="4"/>
  <c r="AH24" i="4" s="1"/>
  <c r="AI52" i="4"/>
  <c r="AI24" i="4" s="1"/>
  <c r="AJ52" i="4"/>
  <c r="AJ24" i="4" s="1"/>
  <c r="AK52" i="4"/>
  <c r="AK24" i="4" s="1"/>
  <c r="AL52" i="4"/>
  <c r="AL24" i="4" s="1"/>
  <c r="AM52" i="4"/>
  <c r="AM24" i="4" s="1"/>
  <c r="AN52" i="4"/>
  <c r="AN24" i="4" s="1"/>
  <c r="AO52" i="4"/>
  <c r="AO24" i="4" s="1"/>
  <c r="AP52" i="4"/>
  <c r="AP24" i="4" s="1"/>
  <c r="AQ52" i="4"/>
  <c r="AQ24" i="4" s="1"/>
  <c r="AR52" i="4"/>
  <c r="AR24" i="4" s="1"/>
  <c r="AS52" i="4"/>
  <c r="AS24" i="4" s="1"/>
  <c r="AT52" i="4"/>
  <c r="AT24" i="4" s="1"/>
  <c r="AU52" i="4"/>
  <c r="AU24" i="4" s="1"/>
  <c r="AV52" i="4"/>
  <c r="AV24" i="4" s="1"/>
  <c r="AW52" i="4"/>
  <c r="AW24" i="4" s="1"/>
  <c r="AX52" i="4"/>
  <c r="AX24" i="4" s="1"/>
  <c r="AY52" i="4"/>
  <c r="AY24" i="4" s="1"/>
  <c r="AZ52" i="4"/>
  <c r="AZ24" i="4" s="1"/>
  <c r="BA52" i="4"/>
  <c r="BA24" i="4" s="1"/>
  <c r="BB52" i="4"/>
  <c r="BB24" i="4" s="1"/>
  <c r="BC52" i="4"/>
  <c r="BC24" i="4" s="1"/>
  <c r="BD52" i="4"/>
  <c r="BD24" i="4" s="1"/>
  <c r="BE52" i="4"/>
  <c r="BE24" i="4" s="1"/>
  <c r="BF52" i="4"/>
  <c r="BF24" i="4" s="1"/>
  <c r="BG52" i="4"/>
  <c r="BG24" i="4" s="1"/>
  <c r="BH52" i="4"/>
  <c r="BH24" i="4" s="1"/>
  <c r="BI52" i="4"/>
  <c r="BI24" i="4" s="1"/>
  <c r="BJ52" i="4"/>
  <c r="BJ24" i="4" s="1"/>
  <c r="BK52" i="4"/>
  <c r="BK24" i="4" s="1"/>
  <c r="BL52" i="4"/>
  <c r="BL24" i="4" s="1"/>
  <c r="BM52" i="4"/>
  <c r="BM24" i="4" s="1"/>
  <c r="BN52" i="4"/>
  <c r="BN24" i="4" s="1"/>
  <c r="BO52" i="4"/>
  <c r="BO24" i="4" s="1"/>
  <c r="BP52" i="4"/>
  <c r="BP24" i="4" s="1"/>
  <c r="BQ52" i="4"/>
  <c r="BQ24" i="4" s="1"/>
  <c r="BR52" i="4"/>
  <c r="BR24" i="4" s="1"/>
  <c r="BS52" i="4"/>
  <c r="BS24" i="4" s="1"/>
  <c r="BT52" i="4"/>
  <c r="BT24" i="4" s="1"/>
  <c r="BU52" i="4"/>
  <c r="BU24" i="4" s="1"/>
  <c r="BV52" i="4"/>
  <c r="BV24" i="4" s="1"/>
  <c r="BW52" i="4"/>
  <c r="BW24" i="4" s="1"/>
  <c r="BX52" i="4"/>
  <c r="BX24" i="4" s="1"/>
  <c r="BY52" i="4"/>
  <c r="BY24" i="4" s="1"/>
  <c r="BZ52" i="4"/>
  <c r="BZ24" i="4" s="1"/>
  <c r="CA52" i="4"/>
  <c r="CA24" i="4" s="1"/>
  <c r="CB52" i="4"/>
  <c r="CB24" i="4" s="1"/>
  <c r="CC52" i="4"/>
  <c r="CC24" i="4" s="1"/>
  <c r="CD52" i="4"/>
  <c r="CD24" i="4" s="1"/>
  <c r="CE52" i="4"/>
  <c r="CE24" i="4" s="1"/>
  <c r="CF52" i="4"/>
  <c r="CF24" i="4" s="1"/>
  <c r="CG52" i="4"/>
  <c r="CG24" i="4" s="1"/>
  <c r="CH52" i="4"/>
  <c r="CH24" i="4" s="1"/>
  <c r="CI52" i="4"/>
  <c r="CI24" i="4" s="1"/>
  <c r="CJ52" i="4"/>
  <c r="CJ24" i="4" s="1"/>
  <c r="CK52" i="4"/>
  <c r="CK24" i="4" s="1"/>
  <c r="CL52" i="4"/>
  <c r="CL24" i="4" s="1"/>
  <c r="G53" i="4"/>
  <c r="G25" i="4" s="1"/>
  <c r="H53" i="4"/>
  <c r="H25" i="4" s="1"/>
  <c r="I53" i="4"/>
  <c r="I25" i="4" s="1"/>
  <c r="J53" i="4"/>
  <c r="J25" i="4" s="1"/>
  <c r="K53" i="4"/>
  <c r="K25" i="4" s="1"/>
  <c r="L53" i="4"/>
  <c r="L25" i="4" s="1"/>
  <c r="M53" i="4"/>
  <c r="M25" i="4" s="1"/>
  <c r="N53" i="4"/>
  <c r="N25" i="4" s="1"/>
  <c r="O53" i="4"/>
  <c r="O25" i="4" s="1"/>
  <c r="P53" i="4"/>
  <c r="P25" i="4" s="1"/>
  <c r="Q53" i="4"/>
  <c r="Q25" i="4" s="1"/>
  <c r="R53" i="4"/>
  <c r="R25" i="4" s="1"/>
  <c r="S53" i="4"/>
  <c r="S25" i="4" s="1"/>
  <c r="T53" i="4"/>
  <c r="T25" i="4" s="1"/>
  <c r="U53" i="4"/>
  <c r="U25" i="4" s="1"/>
  <c r="V53" i="4"/>
  <c r="V25" i="4" s="1"/>
  <c r="W53" i="4"/>
  <c r="W25" i="4" s="1"/>
  <c r="X53" i="4"/>
  <c r="X25" i="4" s="1"/>
  <c r="Y53" i="4"/>
  <c r="Y25" i="4" s="1"/>
  <c r="Z53" i="4"/>
  <c r="Z25" i="4" s="1"/>
  <c r="AA53" i="4"/>
  <c r="AA25" i="4" s="1"/>
  <c r="AB53" i="4"/>
  <c r="AB25" i="4" s="1"/>
  <c r="AC53" i="4"/>
  <c r="AC25" i="4" s="1"/>
  <c r="AD53" i="4"/>
  <c r="AD25" i="4" s="1"/>
  <c r="AE53" i="4"/>
  <c r="AE25" i="4" s="1"/>
  <c r="AF53" i="4"/>
  <c r="AF25" i="4" s="1"/>
  <c r="AG53" i="4"/>
  <c r="AG25" i="4" s="1"/>
  <c r="AH53" i="4"/>
  <c r="AH25" i="4" s="1"/>
  <c r="AI53" i="4"/>
  <c r="AI25" i="4" s="1"/>
  <c r="AJ53" i="4"/>
  <c r="AJ25" i="4" s="1"/>
  <c r="AK53" i="4"/>
  <c r="AK25" i="4" s="1"/>
  <c r="AL53" i="4"/>
  <c r="AL25" i="4" s="1"/>
  <c r="AM53" i="4"/>
  <c r="AM25" i="4" s="1"/>
  <c r="AN53" i="4"/>
  <c r="AN25" i="4" s="1"/>
  <c r="AO53" i="4"/>
  <c r="AO25" i="4" s="1"/>
  <c r="AP53" i="4"/>
  <c r="AP25" i="4" s="1"/>
  <c r="AQ53" i="4"/>
  <c r="AQ25" i="4" s="1"/>
  <c r="AR53" i="4"/>
  <c r="AR25" i="4" s="1"/>
  <c r="AS53" i="4"/>
  <c r="AS25" i="4" s="1"/>
  <c r="AT53" i="4"/>
  <c r="AT25" i="4" s="1"/>
  <c r="AU53" i="4"/>
  <c r="AU25" i="4" s="1"/>
  <c r="AV53" i="4"/>
  <c r="AV25" i="4" s="1"/>
  <c r="AW53" i="4"/>
  <c r="AW25" i="4" s="1"/>
  <c r="AX53" i="4"/>
  <c r="AX25" i="4" s="1"/>
  <c r="AY53" i="4"/>
  <c r="AY25" i="4" s="1"/>
  <c r="AZ53" i="4"/>
  <c r="AZ25" i="4" s="1"/>
  <c r="BA53" i="4"/>
  <c r="BA25" i="4" s="1"/>
  <c r="BB53" i="4"/>
  <c r="BB25" i="4" s="1"/>
  <c r="BC53" i="4"/>
  <c r="BC25" i="4" s="1"/>
  <c r="BD53" i="4"/>
  <c r="BD25" i="4" s="1"/>
  <c r="BE53" i="4"/>
  <c r="BE25" i="4" s="1"/>
  <c r="BF53" i="4"/>
  <c r="BF25" i="4" s="1"/>
  <c r="BG53" i="4"/>
  <c r="BG25" i="4" s="1"/>
  <c r="BH53" i="4"/>
  <c r="BH25" i="4" s="1"/>
  <c r="BI53" i="4"/>
  <c r="BI25" i="4" s="1"/>
  <c r="BJ53" i="4"/>
  <c r="BJ25" i="4" s="1"/>
  <c r="BK53" i="4"/>
  <c r="BK25" i="4" s="1"/>
  <c r="BL53" i="4"/>
  <c r="BL25" i="4" s="1"/>
  <c r="BM53" i="4"/>
  <c r="BM25" i="4" s="1"/>
  <c r="BN53" i="4"/>
  <c r="BN25" i="4" s="1"/>
  <c r="BO53" i="4"/>
  <c r="BO25" i="4" s="1"/>
  <c r="BP53" i="4"/>
  <c r="BP25" i="4" s="1"/>
  <c r="BQ53" i="4"/>
  <c r="BQ25" i="4" s="1"/>
  <c r="BR53" i="4"/>
  <c r="BR25" i="4" s="1"/>
  <c r="BS53" i="4"/>
  <c r="BS25" i="4" s="1"/>
  <c r="BT53" i="4"/>
  <c r="BT25" i="4" s="1"/>
  <c r="BU53" i="4"/>
  <c r="BU25" i="4" s="1"/>
  <c r="BV53" i="4"/>
  <c r="BV25" i="4" s="1"/>
  <c r="BW53" i="4"/>
  <c r="BW25" i="4" s="1"/>
  <c r="BX53" i="4"/>
  <c r="BX25" i="4" s="1"/>
  <c r="BY53" i="4"/>
  <c r="BY25" i="4" s="1"/>
  <c r="BZ53" i="4"/>
  <c r="BZ25" i="4" s="1"/>
  <c r="CA53" i="4"/>
  <c r="CA25" i="4" s="1"/>
  <c r="CB53" i="4"/>
  <c r="CB25" i="4" s="1"/>
  <c r="CC53" i="4"/>
  <c r="CC25" i="4" s="1"/>
  <c r="CD53" i="4"/>
  <c r="CD25" i="4" s="1"/>
  <c r="CE53" i="4"/>
  <c r="CE25" i="4" s="1"/>
  <c r="CF53" i="4"/>
  <c r="CF25" i="4" s="1"/>
  <c r="CG53" i="4"/>
  <c r="CG25" i="4" s="1"/>
  <c r="CH53" i="4"/>
  <c r="CH25" i="4" s="1"/>
  <c r="CI53" i="4"/>
  <c r="CI25" i="4" s="1"/>
  <c r="CJ53" i="4"/>
  <c r="CJ25" i="4" s="1"/>
  <c r="CK53" i="4"/>
  <c r="CK25" i="4" s="1"/>
  <c r="CL53" i="4"/>
  <c r="CL25" i="4" s="1"/>
  <c r="G54" i="4"/>
  <c r="G26" i="4" s="1"/>
  <c r="H54" i="4"/>
  <c r="H26" i="4" s="1"/>
  <c r="I54" i="4"/>
  <c r="I26" i="4" s="1"/>
  <c r="J54" i="4"/>
  <c r="J26" i="4" s="1"/>
  <c r="K54" i="4"/>
  <c r="K26" i="4" s="1"/>
  <c r="L54" i="4"/>
  <c r="L26" i="4" s="1"/>
  <c r="M54" i="4"/>
  <c r="M26" i="4" s="1"/>
  <c r="N54" i="4"/>
  <c r="N26" i="4" s="1"/>
  <c r="O54" i="4"/>
  <c r="O26" i="4" s="1"/>
  <c r="P54" i="4"/>
  <c r="P26" i="4" s="1"/>
  <c r="Q54" i="4"/>
  <c r="Q26" i="4" s="1"/>
  <c r="R54" i="4"/>
  <c r="R26" i="4" s="1"/>
  <c r="S54" i="4"/>
  <c r="S26" i="4" s="1"/>
  <c r="T54" i="4"/>
  <c r="T26" i="4" s="1"/>
  <c r="U54" i="4"/>
  <c r="U26" i="4" s="1"/>
  <c r="V54" i="4"/>
  <c r="V26" i="4" s="1"/>
  <c r="W54" i="4"/>
  <c r="W26" i="4" s="1"/>
  <c r="X54" i="4"/>
  <c r="X26" i="4" s="1"/>
  <c r="Y54" i="4"/>
  <c r="Y26" i="4" s="1"/>
  <c r="Z54" i="4"/>
  <c r="Z26" i="4" s="1"/>
  <c r="AA54" i="4"/>
  <c r="AA26" i="4" s="1"/>
  <c r="AB54" i="4"/>
  <c r="AB26" i="4" s="1"/>
  <c r="AC54" i="4"/>
  <c r="AC26" i="4" s="1"/>
  <c r="AD54" i="4"/>
  <c r="AD26" i="4" s="1"/>
  <c r="AE54" i="4"/>
  <c r="AE26" i="4" s="1"/>
  <c r="AF54" i="4"/>
  <c r="AF26" i="4" s="1"/>
  <c r="AG54" i="4"/>
  <c r="AG26" i="4" s="1"/>
  <c r="AH54" i="4"/>
  <c r="AH26" i="4" s="1"/>
  <c r="AI54" i="4"/>
  <c r="AI26" i="4" s="1"/>
  <c r="AJ54" i="4"/>
  <c r="AJ26" i="4" s="1"/>
  <c r="AK54" i="4"/>
  <c r="AK26" i="4" s="1"/>
  <c r="AL54" i="4"/>
  <c r="AL26" i="4" s="1"/>
  <c r="AM54" i="4"/>
  <c r="AM26" i="4" s="1"/>
  <c r="AN54" i="4"/>
  <c r="AN26" i="4" s="1"/>
  <c r="AO54" i="4"/>
  <c r="AO26" i="4" s="1"/>
  <c r="AP54" i="4"/>
  <c r="AP26" i="4" s="1"/>
  <c r="AQ54" i="4"/>
  <c r="AQ26" i="4" s="1"/>
  <c r="AR54" i="4"/>
  <c r="AR26" i="4" s="1"/>
  <c r="AS54" i="4"/>
  <c r="AS26" i="4" s="1"/>
  <c r="AT54" i="4"/>
  <c r="AT26" i="4" s="1"/>
  <c r="AU54" i="4"/>
  <c r="AU26" i="4" s="1"/>
  <c r="AV54" i="4"/>
  <c r="AV26" i="4" s="1"/>
  <c r="AW54" i="4"/>
  <c r="AW26" i="4" s="1"/>
  <c r="AX54" i="4"/>
  <c r="AX26" i="4" s="1"/>
  <c r="AY54" i="4"/>
  <c r="AY26" i="4" s="1"/>
  <c r="AZ54" i="4"/>
  <c r="AZ26" i="4" s="1"/>
  <c r="BA54" i="4"/>
  <c r="BA26" i="4" s="1"/>
  <c r="BB54" i="4"/>
  <c r="BB26" i="4" s="1"/>
  <c r="BC54" i="4"/>
  <c r="BC26" i="4" s="1"/>
  <c r="BD54" i="4"/>
  <c r="BD26" i="4" s="1"/>
  <c r="BE54" i="4"/>
  <c r="BE26" i="4" s="1"/>
  <c r="BF54" i="4"/>
  <c r="BF26" i="4" s="1"/>
  <c r="BG54" i="4"/>
  <c r="BG26" i="4" s="1"/>
  <c r="BH54" i="4"/>
  <c r="BH26" i="4" s="1"/>
  <c r="BI54" i="4"/>
  <c r="BI26" i="4" s="1"/>
  <c r="BJ54" i="4"/>
  <c r="BJ26" i="4" s="1"/>
  <c r="BK54" i="4"/>
  <c r="BK26" i="4" s="1"/>
  <c r="BL54" i="4"/>
  <c r="BL26" i="4" s="1"/>
  <c r="BM54" i="4"/>
  <c r="BM26" i="4" s="1"/>
  <c r="BN54" i="4"/>
  <c r="BN26" i="4" s="1"/>
  <c r="BO54" i="4"/>
  <c r="BO26" i="4" s="1"/>
  <c r="BP54" i="4"/>
  <c r="BP26" i="4" s="1"/>
  <c r="BQ54" i="4"/>
  <c r="BQ26" i="4" s="1"/>
  <c r="BR54" i="4"/>
  <c r="BR26" i="4" s="1"/>
  <c r="BS54" i="4"/>
  <c r="BS26" i="4" s="1"/>
  <c r="BT54" i="4"/>
  <c r="BT26" i="4" s="1"/>
  <c r="BU54" i="4"/>
  <c r="BU26" i="4" s="1"/>
  <c r="BV54" i="4"/>
  <c r="BV26" i="4" s="1"/>
  <c r="BW54" i="4"/>
  <c r="BW26" i="4" s="1"/>
  <c r="BX54" i="4"/>
  <c r="BX26" i="4" s="1"/>
  <c r="BY54" i="4"/>
  <c r="BY26" i="4" s="1"/>
  <c r="BZ54" i="4"/>
  <c r="BZ26" i="4" s="1"/>
  <c r="CA54" i="4"/>
  <c r="CA26" i="4" s="1"/>
  <c r="CB54" i="4"/>
  <c r="CB26" i="4" s="1"/>
  <c r="CC54" i="4"/>
  <c r="CC26" i="4" s="1"/>
  <c r="CD54" i="4"/>
  <c r="CD26" i="4" s="1"/>
  <c r="CE54" i="4"/>
  <c r="CE26" i="4" s="1"/>
  <c r="CF54" i="4"/>
  <c r="CF26" i="4" s="1"/>
  <c r="CG54" i="4"/>
  <c r="CG26" i="4" s="1"/>
  <c r="CH54" i="4"/>
  <c r="CH26" i="4" s="1"/>
  <c r="CI54" i="4"/>
  <c r="CI26" i="4" s="1"/>
  <c r="CJ54" i="4"/>
  <c r="CJ26" i="4" s="1"/>
  <c r="CK54" i="4"/>
  <c r="CK26" i="4" s="1"/>
  <c r="CL54" i="4"/>
  <c r="CL26" i="4" s="1"/>
  <c r="G55" i="4"/>
  <c r="G27" i="4" s="1"/>
  <c r="H55" i="4"/>
  <c r="H27" i="4" s="1"/>
  <c r="I55" i="4"/>
  <c r="I27" i="4" s="1"/>
  <c r="J55" i="4"/>
  <c r="J27" i="4" s="1"/>
  <c r="K55" i="4"/>
  <c r="K27" i="4" s="1"/>
  <c r="L55" i="4"/>
  <c r="L27" i="4" s="1"/>
  <c r="M55" i="4"/>
  <c r="M27" i="4" s="1"/>
  <c r="N55" i="4"/>
  <c r="N27" i="4" s="1"/>
  <c r="O55" i="4"/>
  <c r="O27" i="4" s="1"/>
  <c r="P55" i="4"/>
  <c r="P27" i="4" s="1"/>
  <c r="Q55" i="4"/>
  <c r="Q27" i="4" s="1"/>
  <c r="R55" i="4"/>
  <c r="R27" i="4" s="1"/>
  <c r="S55" i="4"/>
  <c r="S27" i="4" s="1"/>
  <c r="T55" i="4"/>
  <c r="T27" i="4" s="1"/>
  <c r="U55" i="4"/>
  <c r="U27" i="4" s="1"/>
  <c r="V55" i="4"/>
  <c r="V27" i="4" s="1"/>
  <c r="W55" i="4"/>
  <c r="W27" i="4" s="1"/>
  <c r="X55" i="4"/>
  <c r="X27" i="4" s="1"/>
  <c r="Y55" i="4"/>
  <c r="Y27" i="4" s="1"/>
  <c r="Z55" i="4"/>
  <c r="Z27" i="4" s="1"/>
  <c r="AA55" i="4"/>
  <c r="AA27" i="4" s="1"/>
  <c r="AB55" i="4"/>
  <c r="AB27" i="4" s="1"/>
  <c r="AC55" i="4"/>
  <c r="AC27" i="4" s="1"/>
  <c r="AD55" i="4"/>
  <c r="AD27" i="4" s="1"/>
  <c r="AE55" i="4"/>
  <c r="AE27" i="4" s="1"/>
  <c r="AF55" i="4"/>
  <c r="AF27" i="4" s="1"/>
  <c r="AG55" i="4"/>
  <c r="AG27" i="4" s="1"/>
  <c r="AH55" i="4"/>
  <c r="AH27" i="4" s="1"/>
  <c r="AI55" i="4"/>
  <c r="AI27" i="4" s="1"/>
  <c r="AJ55" i="4"/>
  <c r="AJ27" i="4" s="1"/>
  <c r="AK55" i="4"/>
  <c r="AK27" i="4" s="1"/>
  <c r="AL55" i="4"/>
  <c r="AL27" i="4" s="1"/>
  <c r="AM55" i="4"/>
  <c r="AM27" i="4" s="1"/>
  <c r="AN55" i="4"/>
  <c r="AN27" i="4" s="1"/>
  <c r="AO55" i="4"/>
  <c r="AO27" i="4" s="1"/>
  <c r="AP55" i="4"/>
  <c r="AP27" i="4" s="1"/>
  <c r="AQ55" i="4"/>
  <c r="AQ27" i="4" s="1"/>
  <c r="AR55" i="4"/>
  <c r="AR27" i="4" s="1"/>
  <c r="AS55" i="4"/>
  <c r="AS27" i="4" s="1"/>
  <c r="AT55" i="4"/>
  <c r="AT27" i="4" s="1"/>
  <c r="AU55" i="4"/>
  <c r="AU27" i="4" s="1"/>
  <c r="AV55" i="4"/>
  <c r="AV27" i="4" s="1"/>
  <c r="AW55" i="4"/>
  <c r="AW27" i="4" s="1"/>
  <c r="AX55" i="4"/>
  <c r="AX27" i="4" s="1"/>
  <c r="AY55" i="4"/>
  <c r="AY27" i="4" s="1"/>
  <c r="AZ55" i="4"/>
  <c r="AZ27" i="4" s="1"/>
  <c r="BA55" i="4"/>
  <c r="BA27" i="4" s="1"/>
  <c r="BB55" i="4"/>
  <c r="BB27" i="4" s="1"/>
  <c r="BC55" i="4"/>
  <c r="BC27" i="4" s="1"/>
  <c r="BD55" i="4"/>
  <c r="BD27" i="4" s="1"/>
  <c r="BE55" i="4"/>
  <c r="BE27" i="4" s="1"/>
  <c r="BF55" i="4"/>
  <c r="BF27" i="4" s="1"/>
  <c r="BG55" i="4"/>
  <c r="BG27" i="4" s="1"/>
  <c r="BH55" i="4"/>
  <c r="BH27" i="4" s="1"/>
  <c r="BI55" i="4"/>
  <c r="BI27" i="4" s="1"/>
  <c r="BJ55" i="4"/>
  <c r="BJ27" i="4" s="1"/>
  <c r="BK55" i="4"/>
  <c r="BK27" i="4" s="1"/>
  <c r="BL55" i="4"/>
  <c r="BL27" i="4" s="1"/>
  <c r="BM55" i="4"/>
  <c r="BM27" i="4" s="1"/>
  <c r="BN55" i="4"/>
  <c r="BN27" i="4" s="1"/>
  <c r="BO55" i="4"/>
  <c r="BO27" i="4" s="1"/>
  <c r="BP55" i="4"/>
  <c r="BP27" i="4" s="1"/>
  <c r="BQ55" i="4"/>
  <c r="BQ27" i="4" s="1"/>
  <c r="BR55" i="4"/>
  <c r="BR27" i="4" s="1"/>
  <c r="BS55" i="4"/>
  <c r="BS27" i="4" s="1"/>
  <c r="BT55" i="4"/>
  <c r="BT27" i="4" s="1"/>
  <c r="BU55" i="4"/>
  <c r="BU27" i="4" s="1"/>
  <c r="BV55" i="4"/>
  <c r="BV27" i="4" s="1"/>
  <c r="BW55" i="4"/>
  <c r="BW27" i="4" s="1"/>
  <c r="BX55" i="4"/>
  <c r="BX27" i="4" s="1"/>
  <c r="BY55" i="4"/>
  <c r="BY27" i="4" s="1"/>
  <c r="BZ55" i="4"/>
  <c r="BZ27" i="4" s="1"/>
  <c r="CA55" i="4"/>
  <c r="CA27" i="4" s="1"/>
  <c r="CB55" i="4"/>
  <c r="CB27" i="4" s="1"/>
  <c r="CC55" i="4"/>
  <c r="CC27" i="4" s="1"/>
  <c r="CD55" i="4"/>
  <c r="CD27" i="4" s="1"/>
  <c r="CE55" i="4"/>
  <c r="CE27" i="4" s="1"/>
  <c r="CF55" i="4"/>
  <c r="CF27" i="4" s="1"/>
  <c r="CG55" i="4"/>
  <c r="CG27" i="4" s="1"/>
  <c r="CH55" i="4"/>
  <c r="CH27" i="4" s="1"/>
  <c r="CI55" i="4"/>
  <c r="CI27" i="4" s="1"/>
  <c r="CJ55" i="4"/>
  <c r="CJ27" i="4" s="1"/>
  <c r="CK55" i="4"/>
  <c r="CK27" i="4" s="1"/>
  <c r="CL55" i="4"/>
  <c r="CL27" i="4" s="1"/>
  <c r="G56" i="4"/>
  <c r="G28" i="4" s="1"/>
  <c r="H56" i="4"/>
  <c r="H28" i="4" s="1"/>
  <c r="I56" i="4"/>
  <c r="I28" i="4" s="1"/>
  <c r="J56" i="4"/>
  <c r="J28" i="4" s="1"/>
  <c r="K56" i="4"/>
  <c r="K28" i="4" s="1"/>
  <c r="L56" i="4"/>
  <c r="L28" i="4" s="1"/>
  <c r="M56" i="4"/>
  <c r="M28" i="4" s="1"/>
  <c r="N56" i="4"/>
  <c r="N28" i="4" s="1"/>
  <c r="O56" i="4"/>
  <c r="O28" i="4" s="1"/>
  <c r="P56" i="4"/>
  <c r="P28" i="4" s="1"/>
  <c r="Q56" i="4"/>
  <c r="Q28" i="4" s="1"/>
  <c r="R56" i="4"/>
  <c r="R28" i="4" s="1"/>
  <c r="S56" i="4"/>
  <c r="S28" i="4" s="1"/>
  <c r="T56" i="4"/>
  <c r="T28" i="4" s="1"/>
  <c r="U56" i="4"/>
  <c r="U28" i="4" s="1"/>
  <c r="V56" i="4"/>
  <c r="V28" i="4" s="1"/>
  <c r="W56" i="4"/>
  <c r="W28" i="4" s="1"/>
  <c r="X56" i="4"/>
  <c r="X28" i="4" s="1"/>
  <c r="Y56" i="4"/>
  <c r="Y28" i="4" s="1"/>
  <c r="Z56" i="4"/>
  <c r="Z28" i="4" s="1"/>
  <c r="AA56" i="4"/>
  <c r="AA28" i="4" s="1"/>
  <c r="AB56" i="4"/>
  <c r="AB28" i="4" s="1"/>
  <c r="AC56" i="4"/>
  <c r="AC28" i="4" s="1"/>
  <c r="AD56" i="4"/>
  <c r="AD28" i="4" s="1"/>
  <c r="AE56" i="4"/>
  <c r="AE28" i="4" s="1"/>
  <c r="AF56" i="4"/>
  <c r="AF28" i="4" s="1"/>
  <c r="AG56" i="4"/>
  <c r="AG28" i="4" s="1"/>
  <c r="AH56" i="4"/>
  <c r="AH28" i="4" s="1"/>
  <c r="AI56" i="4"/>
  <c r="AI28" i="4" s="1"/>
  <c r="AJ56" i="4"/>
  <c r="AJ28" i="4" s="1"/>
  <c r="AK56" i="4"/>
  <c r="AK28" i="4" s="1"/>
  <c r="AL56" i="4"/>
  <c r="AL28" i="4" s="1"/>
  <c r="AM56" i="4"/>
  <c r="AM28" i="4" s="1"/>
  <c r="AN56" i="4"/>
  <c r="AN28" i="4" s="1"/>
  <c r="AO56" i="4"/>
  <c r="AO28" i="4" s="1"/>
  <c r="AP56" i="4"/>
  <c r="AP28" i="4" s="1"/>
  <c r="AQ56" i="4"/>
  <c r="AQ28" i="4" s="1"/>
  <c r="AR56" i="4"/>
  <c r="AR28" i="4" s="1"/>
  <c r="AS56" i="4"/>
  <c r="AS28" i="4" s="1"/>
  <c r="AT56" i="4"/>
  <c r="AT28" i="4" s="1"/>
  <c r="AU56" i="4"/>
  <c r="AU28" i="4" s="1"/>
  <c r="AV56" i="4"/>
  <c r="AV28" i="4" s="1"/>
  <c r="AW56" i="4"/>
  <c r="AW28" i="4" s="1"/>
  <c r="AX56" i="4"/>
  <c r="AX28" i="4" s="1"/>
  <c r="AY56" i="4"/>
  <c r="AY28" i="4" s="1"/>
  <c r="AZ56" i="4"/>
  <c r="AZ28" i="4" s="1"/>
  <c r="BA56" i="4"/>
  <c r="BA28" i="4" s="1"/>
  <c r="BB56" i="4"/>
  <c r="BB28" i="4" s="1"/>
  <c r="BC56" i="4"/>
  <c r="BC28" i="4" s="1"/>
  <c r="BD56" i="4"/>
  <c r="BD28" i="4" s="1"/>
  <c r="BE56" i="4"/>
  <c r="BE28" i="4" s="1"/>
  <c r="BF56" i="4"/>
  <c r="BF28" i="4" s="1"/>
  <c r="BG56" i="4"/>
  <c r="BG28" i="4" s="1"/>
  <c r="BH56" i="4"/>
  <c r="BH28" i="4" s="1"/>
  <c r="BI56" i="4"/>
  <c r="BI28" i="4" s="1"/>
  <c r="BJ56" i="4"/>
  <c r="BJ28" i="4" s="1"/>
  <c r="BK56" i="4"/>
  <c r="BK28" i="4" s="1"/>
  <c r="BL56" i="4"/>
  <c r="BL28" i="4" s="1"/>
  <c r="BM56" i="4"/>
  <c r="BM28" i="4" s="1"/>
  <c r="BN56" i="4"/>
  <c r="BN28" i="4" s="1"/>
  <c r="BO56" i="4"/>
  <c r="BO28" i="4" s="1"/>
  <c r="BP56" i="4"/>
  <c r="BP28" i="4" s="1"/>
  <c r="BQ56" i="4"/>
  <c r="BQ28" i="4" s="1"/>
  <c r="BR56" i="4"/>
  <c r="BR28" i="4" s="1"/>
  <c r="BS56" i="4"/>
  <c r="BS28" i="4" s="1"/>
  <c r="BT56" i="4"/>
  <c r="BT28" i="4" s="1"/>
  <c r="BU56" i="4"/>
  <c r="BU28" i="4" s="1"/>
  <c r="BV56" i="4"/>
  <c r="BV28" i="4" s="1"/>
  <c r="BW56" i="4"/>
  <c r="BW28" i="4" s="1"/>
  <c r="BX56" i="4"/>
  <c r="BX28" i="4" s="1"/>
  <c r="BY56" i="4"/>
  <c r="BY28" i="4" s="1"/>
  <c r="BZ56" i="4"/>
  <c r="BZ28" i="4" s="1"/>
  <c r="CA56" i="4"/>
  <c r="CA28" i="4" s="1"/>
  <c r="CB56" i="4"/>
  <c r="CB28" i="4" s="1"/>
  <c r="CC56" i="4"/>
  <c r="CC28" i="4" s="1"/>
  <c r="CD56" i="4"/>
  <c r="CD28" i="4" s="1"/>
  <c r="CE56" i="4"/>
  <c r="CE28" i="4" s="1"/>
  <c r="CF56" i="4"/>
  <c r="CF28" i="4" s="1"/>
  <c r="CG56" i="4"/>
  <c r="CG28" i="4" s="1"/>
  <c r="CH56" i="4"/>
  <c r="CH28" i="4" s="1"/>
  <c r="CI56" i="4"/>
  <c r="CI28" i="4" s="1"/>
  <c r="CJ56" i="4"/>
  <c r="CJ28" i="4" s="1"/>
  <c r="CK56" i="4"/>
  <c r="CK28" i="4" s="1"/>
  <c r="CL56" i="4"/>
  <c r="CL28" i="4" s="1"/>
  <c r="G57" i="4"/>
  <c r="G29" i="4" s="1"/>
  <c r="H57" i="4"/>
  <c r="H29" i="4" s="1"/>
  <c r="I57" i="4"/>
  <c r="I29" i="4" s="1"/>
  <c r="J57" i="4"/>
  <c r="J29" i="4" s="1"/>
  <c r="K57" i="4"/>
  <c r="K29" i="4" s="1"/>
  <c r="L57" i="4"/>
  <c r="L29" i="4" s="1"/>
  <c r="M57" i="4"/>
  <c r="M29" i="4" s="1"/>
  <c r="N57" i="4"/>
  <c r="N29" i="4" s="1"/>
  <c r="O57" i="4"/>
  <c r="O29" i="4" s="1"/>
  <c r="P57" i="4"/>
  <c r="P29" i="4" s="1"/>
  <c r="Q57" i="4"/>
  <c r="Q29" i="4" s="1"/>
  <c r="R57" i="4"/>
  <c r="R29" i="4" s="1"/>
  <c r="S57" i="4"/>
  <c r="S29" i="4" s="1"/>
  <c r="T57" i="4"/>
  <c r="T29" i="4" s="1"/>
  <c r="U57" i="4"/>
  <c r="U29" i="4" s="1"/>
  <c r="V57" i="4"/>
  <c r="V29" i="4" s="1"/>
  <c r="W57" i="4"/>
  <c r="W29" i="4" s="1"/>
  <c r="X57" i="4"/>
  <c r="X29" i="4" s="1"/>
  <c r="Y57" i="4"/>
  <c r="Y29" i="4" s="1"/>
  <c r="Z57" i="4"/>
  <c r="Z29" i="4" s="1"/>
  <c r="AA57" i="4"/>
  <c r="AA29" i="4" s="1"/>
  <c r="AB57" i="4"/>
  <c r="AB29" i="4" s="1"/>
  <c r="AC57" i="4"/>
  <c r="AC29" i="4" s="1"/>
  <c r="AD57" i="4"/>
  <c r="AD29" i="4" s="1"/>
  <c r="AE57" i="4"/>
  <c r="AE29" i="4" s="1"/>
  <c r="AF57" i="4"/>
  <c r="AF29" i="4" s="1"/>
  <c r="AG57" i="4"/>
  <c r="AG29" i="4" s="1"/>
  <c r="AH57" i="4"/>
  <c r="AH29" i="4" s="1"/>
  <c r="AI57" i="4"/>
  <c r="AI29" i="4" s="1"/>
  <c r="AJ57" i="4"/>
  <c r="AJ29" i="4" s="1"/>
  <c r="AK57" i="4"/>
  <c r="AK29" i="4" s="1"/>
  <c r="AL57" i="4"/>
  <c r="AL29" i="4" s="1"/>
  <c r="AM57" i="4"/>
  <c r="AM29" i="4" s="1"/>
  <c r="AN57" i="4"/>
  <c r="AN29" i="4" s="1"/>
  <c r="AO57" i="4"/>
  <c r="AO29" i="4" s="1"/>
  <c r="AP57" i="4"/>
  <c r="AP29" i="4" s="1"/>
  <c r="AQ57" i="4"/>
  <c r="AQ29" i="4" s="1"/>
  <c r="AR57" i="4"/>
  <c r="AR29" i="4" s="1"/>
  <c r="AS57" i="4"/>
  <c r="AS29" i="4" s="1"/>
  <c r="AT57" i="4"/>
  <c r="AT29" i="4" s="1"/>
  <c r="AU57" i="4"/>
  <c r="AU29" i="4" s="1"/>
  <c r="AV57" i="4"/>
  <c r="AV29" i="4" s="1"/>
  <c r="AW57" i="4"/>
  <c r="AW29" i="4" s="1"/>
  <c r="AX57" i="4"/>
  <c r="AX29" i="4" s="1"/>
  <c r="AY57" i="4"/>
  <c r="AY29" i="4" s="1"/>
  <c r="AZ57" i="4"/>
  <c r="AZ29" i="4" s="1"/>
  <c r="BA57" i="4"/>
  <c r="BA29" i="4" s="1"/>
  <c r="BB57" i="4"/>
  <c r="BB29" i="4" s="1"/>
  <c r="BC57" i="4"/>
  <c r="BC29" i="4" s="1"/>
  <c r="BD57" i="4"/>
  <c r="BD29" i="4" s="1"/>
  <c r="BE57" i="4"/>
  <c r="BE29" i="4" s="1"/>
  <c r="BF57" i="4"/>
  <c r="BF29" i="4" s="1"/>
  <c r="BG57" i="4"/>
  <c r="BG29" i="4" s="1"/>
  <c r="BH57" i="4"/>
  <c r="BH29" i="4" s="1"/>
  <c r="BI57" i="4"/>
  <c r="BI29" i="4" s="1"/>
  <c r="BJ57" i="4"/>
  <c r="BJ29" i="4" s="1"/>
  <c r="BK57" i="4"/>
  <c r="BK29" i="4" s="1"/>
  <c r="BL57" i="4"/>
  <c r="BL29" i="4" s="1"/>
  <c r="BM57" i="4"/>
  <c r="BM29" i="4" s="1"/>
  <c r="BN57" i="4"/>
  <c r="BN29" i="4" s="1"/>
  <c r="BO57" i="4"/>
  <c r="BO29" i="4" s="1"/>
  <c r="BP57" i="4"/>
  <c r="BP29" i="4" s="1"/>
  <c r="BQ57" i="4"/>
  <c r="BQ29" i="4" s="1"/>
  <c r="BR57" i="4"/>
  <c r="BR29" i="4" s="1"/>
  <c r="BS57" i="4"/>
  <c r="BS29" i="4" s="1"/>
  <c r="BT57" i="4"/>
  <c r="BT29" i="4" s="1"/>
  <c r="BU57" i="4"/>
  <c r="BU29" i="4" s="1"/>
  <c r="BV57" i="4"/>
  <c r="BV29" i="4" s="1"/>
  <c r="BW57" i="4"/>
  <c r="BW29" i="4" s="1"/>
  <c r="BX57" i="4"/>
  <c r="BX29" i="4" s="1"/>
  <c r="BY57" i="4"/>
  <c r="BY29" i="4" s="1"/>
  <c r="BZ57" i="4"/>
  <c r="BZ29" i="4" s="1"/>
  <c r="CA57" i="4"/>
  <c r="CA29" i="4" s="1"/>
  <c r="CB57" i="4"/>
  <c r="CB29" i="4" s="1"/>
  <c r="CC57" i="4"/>
  <c r="CC29" i="4" s="1"/>
  <c r="CD57" i="4"/>
  <c r="CD29" i="4" s="1"/>
  <c r="CE57" i="4"/>
  <c r="CE29" i="4" s="1"/>
  <c r="CF57" i="4"/>
  <c r="CF29" i="4" s="1"/>
  <c r="CG57" i="4"/>
  <c r="CG29" i="4" s="1"/>
  <c r="CH57" i="4"/>
  <c r="CH29" i="4" s="1"/>
  <c r="CI57" i="4"/>
  <c r="CI29" i="4" s="1"/>
  <c r="CJ57" i="4"/>
  <c r="CJ29" i="4" s="1"/>
  <c r="CK57" i="4"/>
  <c r="CK29" i="4" s="1"/>
  <c r="CL57" i="4"/>
  <c r="CL29" i="4" s="1"/>
  <c r="H38" i="4"/>
  <c r="I38" i="4"/>
  <c r="J38" i="4"/>
  <c r="K38" i="4"/>
  <c r="L38" i="4"/>
  <c r="M38" i="4"/>
  <c r="N38" i="4"/>
  <c r="O38" i="4"/>
  <c r="P38" i="4"/>
  <c r="Q38" i="4"/>
  <c r="R38" i="4"/>
  <c r="S38" i="4"/>
  <c r="T38" i="4"/>
  <c r="U38" i="4"/>
  <c r="V38" i="4"/>
  <c r="W38" i="4"/>
  <c r="X38" i="4"/>
  <c r="Y38" i="4"/>
  <c r="Z38" i="4"/>
  <c r="AA38" i="4"/>
  <c r="AB38" i="4"/>
  <c r="AC38" i="4"/>
  <c r="AD38" i="4"/>
  <c r="AE38" i="4"/>
  <c r="AF38" i="4"/>
  <c r="AG38" i="4"/>
  <c r="AH38" i="4"/>
  <c r="AI38" i="4"/>
  <c r="AJ38" i="4"/>
  <c r="AK38" i="4"/>
  <c r="AL38" i="4"/>
  <c r="AM38" i="4"/>
  <c r="AN38" i="4"/>
  <c r="AO38" i="4"/>
  <c r="AP38" i="4"/>
  <c r="AQ38" i="4"/>
  <c r="AR38" i="4"/>
  <c r="AS38" i="4"/>
  <c r="AT38" i="4"/>
  <c r="AU38" i="4"/>
  <c r="AV38" i="4"/>
  <c r="AW38" i="4"/>
  <c r="AX38" i="4"/>
  <c r="AY38" i="4"/>
  <c r="AZ38" i="4"/>
  <c r="BA38" i="4"/>
  <c r="BB38" i="4"/>
  <c r="BC38" i="4"/>
  <c r="BD38" i="4"/>
  <c r="BE38" i="4"/>
  <c r="BF38" i="4"/>
  <c r="BG38" i="4"/>
  <c r="BH38" i="4"/>
  <c r="BI38" i="4"/>
  <c r="BJ38" i="4"/>
  <c r="BK38" i="4"/>
  <c r="BL38" i="4"/>
  <c r="BM38" i="4"/>
  <c r="BN38" i="4"/>
  <c r="BO38" i="4"/>
  <c r="BP38" i="4"/>
  <c r="BQ38" i="4"/>
  <c r="BR38" i="4"/>
  <c r="BS38" i="4"/>
  <c r="BT38" i="4"/>
  <c r="BU38" i="4"/>
  <c r="BV38" i="4"/>
  <c r="BW38" i="4"/>
  <c r="BX38" i="4"/>
  <c r="BY38" i="4"/>
  <c r="BZ38" i="4"/>
  <c r="CA38" i="4"/>
  <c r="CB38" i="4"/>
  <c r="CC38" i="4"/>
  <c r="CD38" i="4"/>
  <c r="CE38" i="4"/>
  <c r="CF38" i="4"/>
  <c r="CG38" i="4"/>
  <c r="CH38" i="4"/>
  <c r="CI38" i="4"/>
  <c r="CJ38" i="4"/>
  <c r="CK38" i="4"/>
  <c r="CL38" i="4"/>
  <c r="G38" i="4"/>
  <c r="E120" i="5" l="1"/>
  <c r="D120" i="5"/>
  <c r="AG126" i="5"/>
  <c r="AI125" i="5"/>
  <c r="DJ38" i="6"/>
  <c r="DJ11" i="6" s="1"/>
  <c r="DJ39" i="6"/>
  <c r="DJ12" i="6" s="1"/>
  <c r="DJ40" i="6"/>
  <c r="DJ13" i="6" s="1"/>
  <c r="DJ41" i="6"/>
  <c r="DJ14" i="6" s="1"/>
  <c r="DJ42" i="6"/>
  <c r="DJ15" i="6" s="1"/>
  <c r="DJ43" i="6"/>
  <c r="DJ16" i="6" s="1"/>
  <c r="DJ44" i="6"/>
  <c r="DJ17" i="6" s="1"/>
  <c r="DJ45" i="6"/>
  <c r="DJ18" i="6" s="1"/>
  <c r="DJ46" i="6"/>
  <c r="DJ19" i="6" s="1"/>
  <c r="DJ47" i="6"/>
  <c r="DJ20" i="6" s="1"/>
  <c r="DJ48" i="6"/>
  <c r="DJ21" i="6" s="1"/>
  <c r="DJ49" i="6"/>
  <c r="DJ22" i="6" s="1"/>
  <c r="DJ50" i="6"/>
  <c r="DJ23" i="6" s="1"/>
  <c r="DJ51" i="6"/>
  <c r="DJ24" i="6" s="1"/>
  <c r="DJ52" i="6"/>
  <c r="DJ25" i="6" s="1"/>
  <c r="DJ53" i="6"/>
  <c r="DJ26" i="6" s="1"/>
  <c r="DJ54" i="6"/>
  <c r="DJ27" i="6" s="1"/>
  <c r="DJ55" i="6"/>
  <c r="DJ28" i="6" s="1"/>
  <c r="DJ56" i="6"/>
  <c r="DJ29" i="6" s="1"/>
  <c r="DK9" i="6"/>
  <c r="DJ10" i="6"/>
  <c r="AK106" i="5"/>
  <c r="AO105" i="5"/>
  <c r="AC107" i="5"/>
  <c r="CJ10" i="4"/>
  <c r="CI10" i="4"/>
  <c r="CG10" i="4"/>
  <c r="CF10" i="4"/>
  <c r="CE10" i="4"/>
  <c r="CB10" i="4"/>
  <c r="CA10" i="4"/>
  <c r="BY10" i="4"/>
  <c r="BX10" i="4"/>
  <c r="BW10" i="4"/>
  <c r="BT10" i="4"/>
  <c r="BS10" i="4"/>
  <c r="BP10" i="4"/>
  <c r="BO10" i="4"/>
  <c r="BL10" i="4"/>
  <c r="BK10" i="4"/>
  <c r="BH10" i="4"/>
  <c r="BG10" i="4"/>
  <c r="BD10" i="4"/>
  <c r="BC10" i="4"/>
  <c r="AZ10" i="4"/>
  <c r="AY10" i="4"/>
  <c r="AV10" i="4"/>
  <c r="AU10" i="4"/>
  <c r="AR10" i="4"/>
  <c r="AQ10" i="4"/>
  <c r="AN10" i="4"/>
  <c r="AM10" i="4"/>
  <c r="AJ10" i="4"/>
  <c r="AI10" i="4"/>
  <c r="AF10" i="4"/>
  <c r="AE10" i="4"/>
  <c r="AB10" i="4"/>
  <c r="AA10" i="4"/>
  <c r="X10" i="4"/>
  <c r="W10" i="4"/>
  <c r="T10" i="4"/>
  <c r="S10" i="4"/>
  <c r="P10" i="4"/>
  <c r="O10" i="4"/>
  <c r="L10" i="4"/>
  <c r="K10" i="4"/>
  <c r="H10" i="4"/>
  <c r="G10" i="4"/>
  <c r="CL10" i="4"/>
  <c r="CK10" i="4"/>
  <c r="CH10" i="4"/>
  <c r="CD10" i="4"/>
  <c r="CC10" i="4"/>
  <c r="BZ10" i="4"/>
  <c r="BV10" i="4"/>
  <c r="BU10" i="4"/>
  <c r="BR10" i="4"/>
  <c r="BQ10" i="4"/>
  <c r="BN10" i="4"/>
  <c r="BM10" i="4"/>
  <c r="BJ10" i="4"/>
  <c r="BI10" i="4"/>
  <c r="BF10" i="4"/>
  <c r="BE10" i="4"/>
  <c r="BB10" i="4"/>
  <c r="BA10" i="4"/>
  <c r="AX10" i="4"/>
  <c r="AW10" i="4"/>
  <c r="AT10" i="4"/>
  <c r="AS10" i="4"/>
  <c r="AP10" i="4"/>
  <c r="AO10" i="4"/>
  <c r="AL10" i="4"/>
  <c r="AK10" i="4"/>
  <c r="AH10" i="4"/>
  <c r="AG10" i="4"/>
  <c r="AD10" i="4"/>
  <c r="AC10" i="4"/>
  <c r="Z10" i="4"/>
  <c r="Y10" i="4"/>
  <c r="V10" i="4"/>
  <c r="U10" i="4"/>
  <c r="R10" i="4"/>
  <c r="Q10" i="4"/>
  <c r="N10" i="4"/>
  <c r="M10" i="4"/>
  <c r="J10" i="4"/>
  <c r="I10" i="4"/>
  <c r="AG127" i="5" l="1"/>
  <c r="AI126" i="5"/>
  <c r="DK38" i="6"/>
  <c r="DK11" i="6" s="1"/>
  <c r="DK39" i="6"/>
  <c r="DK12" i="6" s="1"/>
  <c r="DK40" i="6"/>
  <c r="DK13" i="6" s="1"/>
  <c r="DK41" i="6"/>
  <c r="DK14" i="6" s="1"/>
  <c r="DK42" i="6"/>
  <c r="DK15" i="6" s="1"/>
  <c r="DK43" i="6"/>
  <c r="DK16" i="6" s="1"/>
  <c r="DK44" i="6"/>
  <c r="DK17" i="6" s="1"/>
  <c r="DK45" i="6"/>
  <c r="DK18" i="6" s="1"/>
  <c r="DK46" i="6"/>
  <c r="DK19" i="6" s="1"/>
  <c r="DK47" i="6"/>
  <c r="DK20" i="6" s="1"/>
  <c r="DK48" i="6"/>
  <c r="DK21" i="6" s="1"/>
  <c r="DK49" i="6"/>
  <c r="DK22" i="6" s="1"/>
  <c r="DK50" i="6"/>
  <c r="DK23" i="6" s="1"/>
  <c r="DK51" i="6"/>
  <c r="DK24" i="6" s="1"/>
  <c r="DK52" i="6"/>
  <c r="DK25" i="6" s="1"/>
  <c r="DK53" i="6"/>
  <c r="DK26" i="6" s="1"/>
  <c r="DK54" i="6"/>
  <c r="DK27" i="6" s="1"/>
  <c r="DK55" i="6"/>
  <c r="DK28" i="6" s="1"/>
  <c r="DK56" i="6"/>
  <c r="DK29" i="6" s="1"/>
  <c r="DL9" i="6"/>
  <c r="DK10" i="6"/>
  <c r="AK107" i="5"/>
  <c r="AO106" i="5"/>
  <c r="AC108" i="5"/>
  <c r="C121" i="5"/>
  <c r="E121" i="5" l="1"/>
  <c r="D121" i="5"/>
  <c r="AG128" i="5"/>
  <c r="AI127" i="5"/>
  <c r="DL38" i="6"/>
  <c r="DL11" i="6" s="1"/>
  <c r="DL39" i="6"/>
  <c r="DL12" i="6" s="1"/>
  <c r="DL40" i="6"/>
  <c r="DL13" i="6" s="1"/>
  <c r="DL41" i="6"/>
  <c r="DL14" i="6" s="1"/>
  <c r="DL42" i="6"/>
  <c r="DL15" i="6" s="1"/>
  <c r="DL43" i="6"/>
  <c r="DL16" i="6" s="1"/>
  <c r="DL44" i="6"/>
  <c r="DL17" i="6" s="1"/>
  <c r="DL45" i="6"/>
  <c r="DL18" i="6" s="1"/>
  <c r="DL46" i="6"/>
  <c r="DL19" i="6" s="1"/>
  <c r="DL47" i="6"/>
  <c r="DL20" i="6" s="1"/>
  <c r="DL48" i="6"/>
  <c r="DL21" i="6" s="1"/>
  <c r="DL49" i="6"/>
  <c r="DL22" i="6" s="1"/>
  <c r="DL50" i="6"/>
  <c r="DL23" i="6" s="1"/>
  <c r="DL51" i="6"/>
  <c r="DL24" i="6" s="1"/>
  <c r="DL52" i="6"/>
  <c r="DL25" i="6" s="1"/>
  <c r="DL53" i="6"/>
  <c r="DL26" i="6" s="1"/>
  <c r="DL54" i="6"/>
  <c r="DL27" i="6" s="1"/>
  <c r="DL55" i="6"/>
  <c r="DL28" i="6" s="1"/>
  <c r="DL56" i="6"/>
  <c r="DL29" i="6" s="1"/>
  <c r="DM9" i="6"/>
  <c r="DL10" i="6"/>
  <c r="AK108" i="5"/>
  <c r="AO107" i="5"/>
  <c r="AD108" i="5"/>
  <c r="C122" i="5"/>
  <c r="AC109" i="5"/>
  <c r="E122" i="5" l="1"/>
  <c r="D122" i="5"/>
  <c r="AG129" i="5"/>
  <c r="AI128" i="5"/>
  <c r="AH108" i="5"/>
  <c r="AI108" i="5" s="1"/>
  <c r="DM38" i="6"/>
  <c r="DM11" i="6" s="1"/>
  <c r="DM39" i="6"/>
  <c r="DM12" i="6" s="1"/>
  <c r="DM40" i="6"/>
  <c r="DM13" i="6" s="1"/>
  <c r="DM41" i="6"/>
  <c r="DM14" i="6" s="1"/>
  <c r="DM42" i="6"/>
  <c r="DM15" i="6" s="1"/>
  <c r="DM43" i="6"/>
  <c r="DM16" i="6" s="1"/>
  <c r="DM44" i="6"/>
  <c r="DM17" i="6" s="1"/>
  <c r="DM45" i="6"/>
  <c r="DM18" i="6" s="1"/>
  <c r="DM46" i="6"/>
  <c r="DM19" i="6" s="1"/>
  <c r="DM47" i="6"/>
  <c r="DM20" i="6" s="1"/>
  <c r="DM48" i="6"/>
  <c r="DM21" i="6" s="1"/>
  <c r="DM49" i="6"/>
  <c r="DM22" i="6" s="1"/>
  <c r="DM50" i="6"/>
  <c r="DM23" i="6" s="1"/>
  <c r="DM51" i="6"/>
  <c r="DM24" i="6" s="1"/>
  <c r="DM52" i="6"/>
  <c r="DM25" i="6" s="1"/>
  <c r="DM53" i="6"/>
  <c r="DM26" i="6" s="1"/>
  <c r="DM54" i="6"/>
  <c r="DM27" i="6" s="1"/>
  <c r="DM55" i="6"/>
  <c r="DM28" i="6" s="1"/>
  <c r="DM56" i="6"/>
  <c r="DM29" i="6" s="1"/>
  <c r="DN9" i="6"/>
  <c r="DM10" i="6"/>
  <c r="AK109" i="5"/>
  <c r="AO108" i="5"/>
  <c r="AD109" i="5"/>
  <c r="C123" i="5"/>
  <c r="AC110" i="5"/>
  <c r="AE10" i="2"/>
  <c r="E123" i="5" l="1"/>
  <c r="D123" i="5"/>
  <c r="AG130" i="5"/>
  <c r="AI129" i="5"/>
  <c r="AH109" i="5"/>
  <c r="AI109" i="5" s="1"/>
  <c r="DN38" i="6"/>
  <c r="DN11" i="6" s="1"/>
  <c r="DN39" i="6"/>
  <c r="DN12" i="6" s="1"/>
  <c r="DN40" i="6"/>
  <c r="DN13" i="6" s="1"/>
  <c r="DN41" i="6"/>
  <c r="DN14" i="6" s="1"/>
  <c r="DN42" i="6"/>
  <c r="DN15" i="6" s="1"/>
  <c r="DN43" i="6"/>
  <c r="DN16" i="6" s="1"/>
  <c r="DN44" i="6"/>
  <c r="DN17" i="6" s="1"/>
  <c r="DN45" i="6"/>
  <c r="DN18" i="6" s="1"/>
  <c r="DN46" i="6"/>
  <c r="DN19" i="6" s="1"/>
  <c r="DN47" i="6"/>
  <c r="DN20" i="6" s="1"/>
  <c r="DN48" i="6"/>
  <c r="DN21" i="6" s="1"/>
  <c r="DN49" i="6"/>
  <c r="DN22" i="6" s="1"/>
  <c r="DN50" i="6"/>
  <c r="DN23" i="6" s="1"/>
  <c r="DN51" i="6"/>
  <c r="DN24" i="6" s="1"/>
  <c r="DN52" i="6"/>
  <c r="DN25" i="6" s="1"/>
  <c r="DN53" i="6"/>
  <c r="DN26" i="6" s="1"/>
  <c r="DN54" i="6"/>
  <c r="DN27" i="6" s="1"/>
  <c r="DN55" i="6"/>
  <c r="DN28" i="6" s="1"/>
  <c r="DN56" i="6"/>
  <c r="DN29" i="6" s="1"/>
  <c r="DO9" i="6"/>
  <c r="DN10" i="6"/>
  <c r="AK110" i="5"/>
  <c r="AO109" i="5"/>
  <c r="C124" i="5"/>
  <c r="AC111" i="5"/>
  <c r="D49" i="2"/>
  <c r="AI10" i="2"/>
  <c r="AD18" i="2"/>
  <c r="E124" i="5" l="1"/>
  <c r="D124" i="5"/>
  <c r="AG131" i="5"/>
  <c r="AI130" i="5"/>
  <c r="R163" i="2"/>
  <c r="S163" i="2"/>
  <c r="S164" i="2" s="1"/>
  <c r="W163" i="2"/>
  <c r="W164" i="2" s="1"/>
  <c r="AA163" i="2"/>
  <c r="AA164" i="2" s="1"/>
  <c r="T163" i="2"/>
  <c r="T164" i="2" s="1"/>
  <c r="X163" i="2"/>
  <c r="X164" i="2" s="1"/>
  <c r="Z163" i="2"/>
  <c r="Z164" i="2" s="1"/>
  <c r="U163" i="2"/>
  <c r="U164" i="2" s="1"/>
  <c r="Y163" i="2"/>
  <c r="Y164" i="2" s="1"/>
  <c r="V163" i="2"/>
  <c r="V164" i="2" s="1"/>
  <c r="DO38" i="6"/>
  <c r="DO11" i="6" s="1"/>
  <c r="DO39" i="6"/>
  <c r="DO12" i="6" s="1"/>
  <c r="DO40" i="6"/>
  <c r="DO13" i="6" s="1"/>
  <c r="DO41" i="6"/>
  <c r="DO14" i="6" s="1"/>
  <c r="DO42" i="6"/>
  <c r="DO15" i="6" s="1"/>
  <c r="DO43" i="6"/>
  <c r="DO16" i="6" s="1"/>
  <c r="DO44" i="6"/>
  <c r="DO17" i="6" s="1"/>
  <c r="DO45" i="6"/>
  <c r="DO18" i="6" s="1"/>
  <c r="DO46" i="6"/>
  <c r="DO47" i="6"/>
  <c r="DO48" i="6"/>
  <c r="DO21" i="6" s="1"/>
  <c r="DO49" i="6"/>
  <c r="DO22" i="6" s="1"/>
  <c r="DO50" i="6"/>
  <c r="DO23" i="6" s="1"/>
  <c r="DO51" i="6"/>
  <c r="DO24" i="6" s="1"/>
  <c r="DO52" i="6"/>
  <c r="DO25" i="6" s="1"/>
  <c r="DO53" i="6"/>
  <c r="DO26" i="6" s="1"/>
  <c r="DO54" i="6"/>
  <c r="DO27" i="6" s="1"/>
  <c r="DO55" i="6"/>
  <c r="DO28" i="6" s="1"/>
  <c r="DO56" i="6"/>
  <c r="DO29" i="6" s="1"/>
  <c r="DP9" i="6"/>
  <c r="DO19" i="6"/>
  <c r="DO20" i="6"/>
  <c r="DO10" i="6"/>
  <c r="AK111" i="5"/>
  <c r="AO110" i="5"/>
  <c r="AC112" i="5"/>
  <c r="C125" i="5"/>
  <c r="AM10" i="2"/>
  <c r="AL18" i="2" s="1"/>
  <c r="AH18" i="2"/>
  <c r="E125" i="5" l="1"/>
  <c r="D125" i="5"/>
  <c r="AG132" i="5"/>
  <c r="AI131" i="5"/>
  <c r="DP38" i="6"/>
  <c r="DP11" i="6" s="1"/>
  <c r="DP39" i="6"/>
  <c r="DP12" i="6" s="1"/>
  <c r="DP40" i="6"/>
  <c r="DP13" i="6" s="1"/>
  <c r="DP41" i="6"/>
  <c r="DP14" i="6" s="1"/>
  <c r="DP42" i="6"/>
  <c r="DP15" i="6" s="1"/>
  <c r="DP43" i="6"/>
  <c r="DP16" i="6" s="1"/>
  <c r="DP44" i="6"/>
  <c r="DP17" i="6" s="1"/>
  <c r="DP45" i="6"/>
  <c r="DP18" i="6" s="1"/>
  <c r="DP46" i="6"/>
  <c r="DP19" i="6" s="1"/>
  <c r="DP47" i="6"/>
  <c r="DP20" i="6" s="1"/>
  <c r="DP48" i="6"/>
  <c r="DP21" i="6" s="1"/>
  <c r="DP49" i="6"/>
  <c r="DP22" i="6" s="1"/>
  <c r="DP50" i="6"/>
  <c r="DP23" i="6" s="1"/>
  <c r="DP51" i="6"/>
  <c r="DP24" i="6" s="1"/>
  <c r="DP52" i="6"/>
  <c r="DP25" i="6" s="1"/>
  <c r="DP53" i="6"/>
  <c r="DP26" i="6" s="1"/>
  <c r="DP54" i="6"/>
  <c r="DP27" i="6" s="1"/>
  <c r="DP55" i="6"/>
  <c r="DP28" i="6" s="1"/>
  <c r="DP56" i="6"/>
  <c r="DP29" i="6" s="1"/>
  <c r="DQ9" i="6"/>
  <c r="DP10" i="6"/>
  <c r="AK112" i="5"/>
  <c r="AO111" i="5"/>
  <c r="C126" i="5"/>
  <c r="AC113" i="5"/>
  <c r="E126" i="5" l="1"/>
  <c r="D126" i="5"/>
  <c r="AG133" i="5"/>
  <c r="AI132" i="5"/>
  <c r="DQ38" i="6"/>
  <c r="DQ11" i="6" s="1"/>
  <c r="DQ39" i="6"/>
  <c r="DQ12" i="6" s="1"/>
  <c r="DQ40" i="6"/>
  <c r="DQ13" i="6" s="1"/>
  <c r="DQ41" i="6"/>
  <c r="DQ14" i="6" s="1"/>
  <c r="DQ42" i="6"/>
  <c r="DQ15" i="6" s="1"/>
  <c r="DQ43" i="6"/>
  <c r="DQ16" i="6" s="1"/>
  <c r="DQ44" i="6"/>
  <c r="DQ17" i="6" s="1"/>
  <c r="DQ45" i="6"/>
  <c r="DQ18" i="6" s="1"/>
  <c r="DQ46" i="6"/>
  <c r="DQ19" i="6" s="1"/>
  <c r="DQ47" i="6"/>
  <c r="DQ20" i="6" s="1"/>
  <c r="DQ48" i="6"/>
  <c r="DQ21" i="6" s="1"/>
  <c r="DQ49" i="6"/>
  <c r="DQ22" i="6" s="1"/>
  <c r="DQ50" i="6"/>
  <c r="DQ51" i="6"/>
  <c r="DQ24" i="6" s="1"/>
  <c r="DQ52" i="6"/>
  <c r="DQ25" i="6" s="1"/>
  <c r="DQ53" i="6"/>
  <c r="DQ26" i="6" s="1"/>
  <c r="DQ54" i="6"/>
  <c r="DQ27" i="6" s="1"/>
  <c r="DQ55" i="6"/>
  <c r="DQ28" i="6" s="1"/>
  <c r="DQ56" i="6"/>
  <c r="DQ29" i="6" s="1"/>
  <c r="DR9" i="6"/>
  <c r="DQ23" i="6"/>
  <c r="DQ10" i="6"/>
  <c r="AK113" i="5"/>
  <c r="AO112" i="5"/>
  <c r="C127" i="5"/>
  <c r="AC114" i="5"/>
  <c r="E127" i="5" l="1"/>
  <c r="D127" i="5"/>
  <c r="AG134" i="5"/>
  <c r="AI133" i="5"/>
  <c r="DR38" i="6"/>
  <c r="DR11" i="6" s="1"/>
  <c r="DR39" i="6"/>
  <c r="DR12" i="6" s="1"/>
  <c r="DR40" i="6"/>
  <c r="DR13" i="6" s="1"/>
  <c r="DR41" i="6"/>
  <c r="DR14" i="6" s="1"/>
  <c r="DR42" i="6"/>
  <c r="DR15" i="6" s="1"/>
  <c r="DR43" i="6"/>
  <c r="DR16" i="6" s="1"/>
  <c r="DR44" i="6"/>
  <c r="DR17" i="6" s="1"/>
  <c r="DR45" i="6"/>
  <c r="DR18" i="6" s="1"/>
  <c r="DR46" i="6"/>
  <c r="DR19" i="6" s="1"/>
  <c r="DR47" i="6"/>
  <c r="DR20" i="6" s="1"/>
  <c r="DR48" i="6"/>
  <c r="DR21" i="6" s="1"/>
  <c r="DR49" i="6"/>
  <c r="DR22" i="6" s="1"/>
  <c r="DR50" i="6"/>
  <c r="DR23" i="6" s="1"/>
  <c r="DR51" i="6"/>
  <c r="DR24" i="6" s="1"/>
  <c r="DR52" i="6"/>
  <c r="DR25" i="6" s="1"/>
  <c r="DR53" i="6"/>
  <c r="DR26" i="6" s="1"/>
  <c r="DR54" i="6"/>
  <c r="DR27" i="6" s="1"/>
  <c r="DR55" i="6"/>
  <c r="DR28" i="6" s="1"/>
  <c r="DR56" i="6"/>
  <c r="DR29" i="6" s="1"/>
  <c r="DS9" i="6"/>
  <c r="DR10" i="6"/>
  <c r="AK114" i="5"/>
  <c r="AO113" i="5"/>
  <c r="AC115" i="5"/>
  <c r="C128" i="5"/>
  <c r="E128" i="5" l="1"/>
  <c r="D128" i="5"/>
  <c r="AG135" i="5"/>
  <c r="AI134" i="5"/>
  <c r="DS38" i="6"/>
  <c r="DS11" i="6" s="1"/>
  <c r="DS39" i="6"/>
  <c r="DS12" i="6" s="1"/>
  <c r="DS40" i="6"/>
  <c r="DS13" i="6" s="1"/>
  <c r="DS41" i="6"/>
  <c r="DS14" i="6" s="1"/>
  <c r="DS42" i="6"/>
  <c r="DS15" i="6" s="1"/>
  <c r="DS43" i="6"/>
  <c r="DS16" i="6" s="1"/>
  <c r="DS44" i="6"/>
  <c r="DS17" i="6" s="1"/>
  <c r="DS45" i="6"/>
  <c r="DS18" i="6" s="1"/>
  <c r="DS46" i="6"/>
  <c r="DS19" i="6" s="1"/>
  <c r="DS47" i="6"/>
  <c r="DS20" i="6" s="1"/>
  <c r="DS48" i="6"/>
  <c r="DS21" i="6" s="1"/>
  <c r="DS49" i="6"/>
  <c r="DS22" i="6" s="1"/>
  <c r="DS50" i="6"/>
  <c r="DS23" i="6" s="1"/>
  <c r="DS51" i="6"/>
  <c r="DS24" i="6" s="1"/>
  <c r="DS52" i="6"/>
  <c r="DS25" i="6" s="1"/>
  <c r="DS53" i="6"/>
  <c r="DS26" i="6" s="1"/>
  <c r="DS54" i="6"/>
  <c r="DS27" i="6" s="1"/>
  <c r="DS55" i="6"/>
  <c r="DS28" i="6" s="1"/>
  <c r="DS56" i="6"/>
  <c r="DS29" i="6" s="1"/>
  <c r="DT9" i="6"/>
  <c r="DS10" i="6"/>
  <c r="AK115" i="5"/>
  <c r="AO114" i="5"/>
  <c r="AC116" i="5"/>
  <c r="C129" i="5"/>
  <c r="E129" i="5" l="1"/>
  <c r="D129" i="5"/>
  <c r="AG136" i="5"/>
  <c r="AI135" i="5"/>
  <c r="DT38" i="6"/>
  <c r="DT11" i="6" s="1"/>
  <c r="DT39" i="6"/>
  <c r="DT12" i="6" s="1"/>
  <c r="DT40" i="6"/>
  <c r="DT13" i="6" s="1"/>
  <c r="DT41" i="6"/>
  <c r="DT14" i="6" s="1"/>
  <c r="DT42" i="6"/>
  <c r="DT15" i="6" s="1"/>
  <c r="DT43" i="6"/>
  <c r="DT16" i="6" s="1"/>
  <c r="DT44" i="6"/>
  <c r="DT17" i="6" s="1"/>
  <c r="DT45" i="6"/>
  <c r="DT18" i="6" s="1"/>
  <c r="DT46" i="6"/>
  <c r="DT19" i="6" s="1"/>
  <c r="DT47" i="6"/>
  <c r="DT20" i="6" s="1"/>
  <c r="DT48" i="6"/>
  <c r="DT21" i="6" s="1"/>
  <c r="DT49" i="6"/>
  <c r="DT22" i="6" s="1"/>
  <c r="DT50" i="6"/>
  <c r="DT51" i="6"/>
  <c r="DT24" i="6" s="1"/>
  <c r="DT52" i="6"/>
  <c r="DT25" i="6" s="1"/>
  <c r="DT53" i="6"/>
  <c r="DT26" i="6" s="1"/>
  <c r="DT54" i="6"/>
  <c r="DT27" i="6" s="1"/>
  <c r="DT55" i="6"/>
  <c r="DT28" i="6" s="1"/>
  <c r="DT56" i="6"/>
  <c r="DT29" i="6" s="1"/>
  <c r="DU9" i="6"/>
  <c r="DT23" i="6"/>
  <c r="DT10" i="6"/>
  <c r="AK116" i="5"/>
  <c r="AO115" i="5"/>
  <c r="C130" i="5"/>
  <c r="AC117" i="5"/>
  <c r="E130" i="5" l="1"/>
  <c r="D130" i="5"/>
  <c r="D182" i="5" s="1"/>
  <c r="D21" i="5" s="1"/>
  <c r="Q15" i="5" s="1"/>
  <c r="AG137" i="5"/>
  <c r="AI136" i="5"/>
  <c r="DU38" i="6"/>
  <c r="DU11" i="6" s="1"/>
  <c r="DU39" i="6"/>
  <c r="DU12" i="6" s="1"/>
  <c r="DU40" i="6"/>
  <c r="DU13" i="6" s="1"/>
  <c r="DU41" i="6"/>
  <c r="DU14" i="6" s="1"/>
  <c r="DU42" i="6"/>
  <c r="DU15" i="6" s="1"/>
  <c r="DU43" i="6"/>
  <c r="DU16" i="6" s="1"/>
  <c r="DU44" i="6"/>
  <c r="DU17" i="6" s="1"/>
  <c r="DU45" i="6"/>
  <c r="DU18" i="6" s="1"/>
  <c r="DU46" i="6"/>
  <c r="DU47" i="6"/>
  <c r="DU20" i="6" s="1"/>
  <c r="DU48" i="6"/>
  <c r="DU21" i="6" s="1"/>
  <c r="DU49" i="6"/>
  <c r="DU22" i="6" s="1"/>
  <c r="DU50" i="6"/>
  <c r="DU23" i="6" s="1"/>
  <c r="DU51" i="6"/>
  <c r="DU24" i="6" s="1"/>
  <c r="DU52" i="6"/>
  <c r="DU25" i="6" s="1"/>
  <c r="DU53" i="6"/>
  <c r="DU26" i="6" s="1"/>
  <c r="DU54" i="6"/>
  <c r="DU27" i="6" s="1"/>
  <c r="DU55" i="6"/>
  <c r="DU28" i="6" s="1"/>
  <c r="DU56" i="6"/>
  <c r="DU29" i="6" s="1"/>
  <c r="DV9" i="6"/>
  <c r="DW9" i="6" s="1"/>
  <c r="DU19" i="6"/>
  <c r="DU10" i="6"/>
  <c r="AK117" i="5"/>
  <c r="AO116" i="5"/>
  <c r="C131" i="5"/>
  <c r="E131" i="5" s="1"/>
  <c r="AC118" i="5"/>
  <c r="DX9" i="6" l="1"/>
  <c r="DW10" i="6"/>
  <c r="DW38" i="6"/>
  <c r="DW11" i="6" s="1"/>
  <c r="DW39" i="6"/>
  <c r="DW12" i="6" s="1"/>
  <c r="DW40" i="6"/>
  <c r="DW13" i="6" s="1"/>
  <c r="DW41" i="6"/>
  <c r="DW14" i="6" s="1"/>
  <c r="DW42" i="6"/>
  <c r="DW15" i="6" s="1"/>
  <c r="DW43" i="6"/>
  <c r="DW16" i="6" s="1"/>
  <c r="DW44" i="6"/>
  <c r="DW17" i="6" s="1"/>
  <c r="DW45" i="6"/>
  <c r="DW18" i="6" s="1"/>
  <c r="DW46" i="6"/>
  <c r="DW19" i="6" s="1"/>
  <c r="DW47" i="6"/>
  <c r="DW20" i="6" s="1"/>
  <c r="DW48" i="6"/>
  <c r="DW21" i="6" s="1"/>
  <c r="DW49" i="6"/>
  <c r="DW22" i="6" s="1"/>
  <c r="DW50" i="6"/>
  <c r="DW23" i="6" s="1"/>
  <c r="DW51" i="6"/>
  <c r="DW24" i="6" s="1"/>
  <c r="DW52" i="6"/>
  <c r="DW25" i="6" s="1"/>
  <c r="DW53" i="6"/>
  <c r="DW26" i="6" s="1"/>
  <c r="DW54" i="6"/>
  <c r="DW27" i="6" s="1"/>
  <c r="DW55" i="6"/>
  <c r="DW28" i="6" s="1"/>
  <c r="DW56" i="6"/>
  <c r="DW29" i="6" s="1"/>
  <c r="AG138" i="5"/>
  <c r="AI137" i="5"/>
  <c r="DV38" i="6"/>
  <c r="DV11" i="6" s="1"/>
  <c r="DV39" i="6"/>
  <c r="DV12" i="6" s="1"/>
  <c r="DV40" i="6"/>
  <c r="DV13" i="6" s="1"/>
  <c r="DV41" i="6"/>
  <c r="DV14" i="6" s="1"/>
  <c r="DV42" i="6"/>
  <c r="DV15" i="6" s="1"/>
  <c r="DV43" i="6"/>
  <c r="DV16" i="6" s="1"/>
  <c r="DV44" i="6"/>
  <c r="DV17" i="6" s="1"/>
  <c r="DV45" i="6"/>
  <c r="DV18" i="6" s="1"/>
  <c r="DV46" i="6"/>
  <c r="DV19" i="6" s="1"/>
  <c r="DV47" i="6"/>
  <c r="DV20" i="6" s="1"/>
  <c r="DV48" i="6"/>
  <c r="DV21" i="6" s="1"/>
  <c r="DV49" i="6"/>
  <c r="DV22" i="6" s="1"/>
  <c r="DV50" i="6"/>
  <c r="DV23" i="6" s="1"/>
  <c r="DV51" i="6"/>
  <c r="DV24" i="6" s="1"/>
  <c r="DV52" i="6"/>
  <c r="DV25" i="6" s="1"/>
  <c r="DV53" i="6"/>
  <c r="DV26" i="6" s="1"/>
  <c r="DV54" i="6"/>
  <c r="DV27" i="6" s="1"/>
  <c r="DV55" i="6"/>
  <c r="DV28" i="6" s="1"/>
  <c r="DV56" i="6"/>
  <c r="DV29" i="6" s="1"/>
  <c r="DV10" i="6"/>
  <c r="AK118" i="5"/>
  <c r="AO117" i="5"/>
  <c r="AC119" i="5"/>
  <c r="C132" i="5"/>
  <c r="E132" i="5" s="1"/>
  <c r="E182" i="5" s="1"/>
  <c r="E21" i="5" s="1"/>
  <c r="N21" i="5" l="1"/>
  <c r="R15" i="5"/>
  <c r="E37" i="5"/>
  <c r="DY9" i="6"/>
  <c r="DX10" i="6"/>
  <c r="DX38" i="6"/>
  <c r="DX11" i="6" s="1"/>
  <c r="DX39" i="6"/>
  <c r="DX12" i="6" s="1"/>
  <c r="DX40" i="6"/>
  <c r="DX13" i="6" s="1"/>
  <c r="DX41" i="6"/>
  <c r="DX14" i="6" s="1"/>
  <c r="DX42" i="6"/>
  <c r="DX15" i="6" s="1"/>
  <c r="DX43" i="6"/>
  <c r="DX16" i="6" s="1"/>
  <c r="DX44" i="6"/>
  <c r="DX17" i="6" s="1"/>
  <c r="DX45" i="6"/>
  <c r="DX18" i="6" s="1"/>
  <c r="DX46" i="6"/>
  <c r="DX19" i="6" s="1"/>
  <c r="DX47" i="6"/>
  <c r="DX20" i="6" s="1"/>
  <c r="DX48" i="6"/>
  <c r="DX21" i="6" s="1"/>
  <c r="DX49" i="6"/>
  <c r="DX22" i="6" s="1"/>
  <c r="DX50" i="6"/>
  <c r="DX23" i="6" s="1"/>
  <c r="DX51" i="6"/>
  <c r="DX24" i="6" s="1"/>
  <c r="DX52" i="6"/>
  <c r="DX25" i="6" s="1"/>
  <c r="DX53" i="6"/>
  <c r="DX26" i="6" s="1"/>
  <c r="DX54" i="6"/>
  <c r="DX27" i="6" s="1"/>
  <c r="DX55" i="6"/>
  <c r="DX28" i="6" s="1"/>
  <c r="DX56" i="6"/>
  <c r="DX29" i="6" s="1"/>
  <c r="AG139" i="5"/>
  <c r="AI138" i="5"/>
  <c r="AC120" i="5"/>
  <c r="AK119" i="5"/>
  <c r="AK120" i="5" s="1"/>
  <c r="AK121" i="5" s="1"/>
  <c r="AK122" i="5" s="1"/>
  <c r="AK123" i="5" s="1"/>
  <c r="AK124" i="5" s="1"/>
  <c r="AK125" i="5" s="1"/>
  <c r="AK126" i="5" s="1"/>
  <c r="AK127" i="5" s="1"/>
  <c r="AK128" i="5" s="1"/>
  <c r="AK129" i="5" s="1"/>
  <c r="AK130" i="5" s="1"/>
  <c r="AK131" i="5" s="1"/>
  <c r="AK132" i="5" s="1"/>
  <c r="AK133" i="5" s="1"/>
  <c r="AK134" i="5" s="1"/>
  <c r="AK135" i="5" s="1"/>
  <c r="AK136" i="5" s="1"/>
  <c r="AK137" i="5" s="1"/>
  <c r="AK138" i="5" s="1"/>
  <c r="AK139" i="5" s="1"/>
  <c r="AK140" i="5" s="1"/>
  <c r="AK141" i="5" s="1"/>
  <c r="AK142" i="5" s="1"/>
  <c r="AK143" i="5" s="1"/>
  <c r="AK144" i="5" s="1"/>
  <c r="AK145" i="5" s="1"/>
  <c r="AK146" i="5" s="1"/>
  <c r="AK147" i="5" s="1"/>
  <c r="AK148" i="5" s="1"/>
  <c r="AK149" i="5" s="1"/>
  <c r="AK150" i="5" s="1"/>
  <c r="AK151" i="5" s="1"/>
  <c r="AK152" i="5" s="1"/>
  <c r="AK153" i="5" s="1"/>
  <c r="AK154" i="5" s="1"/>
  <c r="AK155" i="5" s="1"/>
  <c r="AK156" i="5" s="1"/>
  <c r="AK157" i="5" s="1"/>
  <c r="AK158" i="5" s="1"/>
  <c r="AK159" i="5" s="1"/>
  <c r="AK160" i="5" s="1"/>
  <c r="AK161" i="5" s="1"/>
  <c r="AK162" i="5" s="1"/>
  <c r="AK163" i="5" s="1"/>
  <c r="AK164" i="5" s="1"/>
  <c r="AK165" i="5" s="1"/>
  <c r="AK166" i="5" s="1"/>
  <c r="AK167" i="5" s="1"/>
  <c r="AO118" i="5"/>
  <c r="C133" i="5"/>
  <c r="DZ9" i="6" l="1"/>
  <c r="DY10" i="6"/>
  <c r="DY38" i="6"/>
  <c r="DY11" i="6" s="1"/>
  <c r="DY39" i="6"/>
  <c r="DY12" i="6" s="1"/>
  <c r="DY40" i="6"/>
  <c r="DY13" i="6" s="1"/>
  <c r="DY41" i="6"/>
  <c r="DY14" i="6" s="1"/>
  <c r="DY42" i="6"/>
  <c r="DY15" i="6" s="1"/>
  <c r="DY43" i="6"/>
  <c r="DY16" i="6" s="1"/>
  <c r="DY44" i="6"/>
  <c r="DY17" i="6" s="1"/>
  <c r="DY45" i="6"/>
  <c r="DY18" i="6" s="1"/>
  <c r="DY46" i="6"/>
  <c r="DY19" i="6" s="1"/>
  <c r="DY47" i="6"/>
  <c r="DY20" i="6" s="1"/>
  <c r="DY48" i="6"/>
  <c r="DY21" i="6" s="1"/>
  <c r="DY49" i="6"/>
  <c r="DY22" i="6" s="1"/>
  <c r="DY50" i="6"/>
  <c r="DY23" i="6" s="1"/>
  <c r="DY51" i="6"/>
  <c r="DY24" i="6" s="1"/>
  <c r="DY52" i="6"/>
  <c r="DY25" i="6" s="1"/>
  <c r="DY53" i="6"/>
  <c r="DY26" i="6" s="1"/>
  <c r="DY54" i="6"/>
  <c r="DY27" i="6" s="1"/>
  <c r="DY55" i="6"/>
  <c r="DY28" i="6" s="1"/>
  <c r="DY56" i="6"/>
  <c r="DY29" i="6" s="1"/>
  <c r="AG140" i="5"/>
  <c r="AI139" i="5"/>
  <c r="C134" i="5"/>
  <c r="AC121" i="5"/>
  <c r="AO119" i="5"/>
  <c r="EA9" i="6" l="1"/>
  <c r="DZ10" i="6"/>
  <c r="DZ38" i="6"/>
  <c r="DZ11" i="6" s="1"/>
  <c r="DZ39" i="6"/>
  <c r="DZ12" i="6" s="1"/>
  <c r="DZ40" i="6"/>
  <c r="DZ13" i="6" s="1"/>
  <c r="DZ41" i="6"/>
  <c r="DZ14" i="6" s="1"/>
  <c r="DZ42" i="6"/>
  <c r="DZ15" i="6" s="1"/>
  <c r="DZ43" i="6"/>
  <c r="DZ16" i="6" s="1"/>
  <c r="DZ44" i="6"/>
  <c r="DZ17" i="6" s="1"/>
  <c r="DZ45" i="6"/>
  <c r="DZ18" i="6" s="1"/>
  <c r="DZ46" i="6"/>
  <c r="DZ19" i="6" s="1"/>
  <c r="DZ47" i="6"/>
  <c r="DZ20" i="6" s="1"/>
  <c r="DZ48" i="6"/>
  <c r="DZ21" i="6" s="1"/>
  <c r="DZ49" i="6"/>
  <c r="DZ22" i="6" s="1"/>
  <c r="DZ50" i="6"/>
  <c r="DZ23" i="6" s="1"/>
  <c r="DZ51" i="6"/>
  <c r="DZ24" i="6" s="1"/>
  <c r="DZ52" i="6"/>
  <c r="DZ25" i="6" s="1"/>
  <c r="DZ53" i="6"/>
  <c r="DZ26" i="6" s="1"/>
  <c r="DZ54" i="6"/>
  <c r="DZ27" i="6" s="1"/>
  <c r="DZ55" i="6"/>
  <c r="DZ28" i="6" s="1"/>
  <c r="DZ56" i="6"/>
  <c r="DZ29" i="6" s="1"/>
  <c r="AG141" i="5"/>
  <c r="AI140" i="5"/>
  <c r="C135" i="5"/>
  <c r="AC122" i="5"/>
  <c r="EB9" i="6" l="1"/>
  <c r="EA10" i="6"/>
  <c r="EA38" i="6"/>
  <c r="EA11" i="6" s="1"/>
  <c r="EA39" i="6"/>
  <c r="EA12" i="6" s="1"/>
  <c r="EA40" i="6"/>
  <c r="EA13" i="6" s="1"/>
  <c r="EA41" i="6"/>
  <c r="EA14" i="6" s="1"/>
  <c r="EA42" i="6"/>
  <c r="EA15" i="6" s="1"/>
  <c r="EA43" i="6"/>
  <c r="EA16" i="6" s="1"/>
  <c r="EA44" i="6"/>
  <c r="EA17" i="6" s="1"/>
  <c r="EA45" i="6"/>
  <c r="EA18" i="6" s="1"/>
  <c r="EA46" i="6"/>
  <c r="EA19" i="6" s="1"/>
  <c r="EA47" i="6"/>
  <c r="EA20" i="6" s="1"/>
  <c r="EA48" i="6"/>
  <c r="EA21" i="6" s="1"/>
  <c r="EA49" i="6"/>
  <c r="EA22" i="6" s="1"/>
  <c r="EA50" i="6"/>
  <c r="EA23" i="6" s="1"/>
  <c r="EA51" i="6"/>
  <c r="EA24" i="6" s="1"/>
  <c r="EA52" i="6"/>
  <c r="EA25" i="6" s="1"/>
  <c r="EA53" i="6"/>
  <c r="EA26" i="6" s="1"/>
  <c r="EA54" i="6"/>
  <c r="EA27" i="6" s="1"/>
  <c r="EA55" i="6"/>
  <c r="EA28" i="6" s="1"/>
  <c r="EA56" i="6"/>
  <c r="EA29" i="6" s="1"/>
  <c r="AG142" i="5"/>
  <c r="AI141" i="5"/>
  <c r="C136" i="5"/>
  <c r="AC123" i="5"/>
  <c r="EC9" i="6" l="1"/>
  <c r="EB10" i="6"/>
  <c r="EB38" i="6"/>
  <c r="EB11" i="6" s="1"/>
  <c r="EB39" i="6"/>
  <c r="EB12" i="6" s="1"/>
  <c r="EB40" i="6"/>
  <c r="EB13" i="6" s="1"/>
  <c r="EB41" i="6"/>
  <c r="EB14" i="6" s="1"/>
  <c r="EB42" i="6"/>
  <c r="EB15" i="6" s="1"/>
  <c r="EB43" i="6"/>
  <c r="EB16" i="6" s="1"/>
  <c r="EB44" i="6"/>
  <c r="EB17" i="6" s="1"/>
  <c r="EB45" i="6"/>
  <c r="EB18" i="6" s="1"/>
  <c r="EB46" i="6"/>
  <c r="EB19" i="6" s="1"/>
  <c r="EB47" i="6"/>
  <c r="EB20" i="6" s="1"/>
  <c r="EB48" i="6"/>
  <c r="EB21" i="6" s="1"/>
  <c r="EB49" i="6"/>
  <c r="EB22" i="6" s="1"/>
  <c r="EB50" i="6"/>
  <c r="EB23" i="6" s="1"/>
  <c r="EB51" i="6"/>
  <c r="EB24" i="6" s="1"/>
  <c r="EB52" i="6"/>
  <c r="EB25" i="6" s="1"/>
  <c r="EB53" i="6"/>
  <c r="EB26" i="6" s="1"/>
  <c r="EB54" i="6"/>
  <c r="EB27" i="6" s="1"/>
  <c r="EB55" i="6"/>
  <c r="EB28" i="6" s="1"/>
  <c r="EB56" i="6"/>
  <c r="EB29" i="6" s="1"/>
  <c r="AG143" i="5"/>
  <c r="AI142" i="5"/>
  <c r="AC124" i="5"/>
  <c r="C137" i="5"/>
  <c r="ED9" i="6" l="1"/>
  <c r="EC10" i="6"/>
  <c r="EC38" i="6"/>
  <c r="EC11" i="6" s="1"/>
  <c r="EC39" i="6"/>
  <c r="EC12" i="6" s="1"/>
  <c r="EC40" i="6"/>
  <c r="EC13" i="6" s="1"/>
  <c r="EC41" i="6"/>
  <c r="EC14" i="6" s="1"/>
  <c r="EC42" i="6"/>
  <c r="EC15" i="6" s="1"/>
  <c r="EC43" i="6"/>
  <c r="EC16" i="6" s="1"/>
  <c r="EC44" i="6"/>
  <c r="EC17" i="6" s="1"/>
  <c r="EC45" i="6"/>
  <c r="EC18" i="6" s="1"/>
  <c r="EC46" i="6"/>
  <c r="EC19" i="6" s="1"/>
  <c r="EC47" i="6"/>
  <c r="EC20" i="6" s="1"/>
  <c r="EC48" i="6"/>
  <c r="EC21" i="6" s="1"/>
  <c r="EC49" i="6"/>
  <c r="EC22" i="6" s="1"/>
  <c r="EC50" i="6"/>
  <c r="EC23" i="6" s="1"/>
  <c r="EC51" i="6"/>
  <c r="EC24" i="6" s="1"/>
  <c r="EC52" i="6"/>
  <c r="EC25" i="6" s="1"/>
  <c r="EC53" i="6"/>
  <c r="EC26" i="6" s="1"/>
  <c r="EC54" i="6"/>
  <c r="EC27" i="6" s="1"/>
  <c r="EC55" i="6"/>
  <c r="EC28" i="6" s="1"/>
  <c r="EC56" i="6"/>
  <c r="EC29" i="6" s="1"/>
  <c r="AG144" i="5"/>
  <c r="AI143" i="5"/>
  <c r="C138" i="5"/>
  <c r="AC125" i="5"/>
  <c r="EE9" i="6" l="1"/>
  <c r="ED10" i="6"/>
  <c r="ED38" i="6"/>
  <c r="ED11" i="6" s="1"/>
  <c r="ED39" i="6"/>
  <c r="ED12" i="6" s="1"/>
  <c r="ED40" i="6"/>
  <c r="ED13" i="6" s="1"/>
  <c r="ED41" i="6"/>
  <c r="ED14" i="6" s="1"/>
  <c r="ED42" i="6"/>
  <c r="ED15" i="6" s="1"/>
  <c r="ED43" i="6"/>
  <c r="ED16" i="6" s="1"/>
  <c r="ED44" i="6"/>
  <c r="ED17" i="6" s="1"/>
  <c r="ED45" i="6"/>
  <c r="ED18" i="6" s="1"/>
  <c r="ED46" i="6"/>
  <c r="ED19" i="6" s="1"/>
  <c r="ED47" i="6"/>
  <c r="ED20" i="6" s="1"/>
  <c r="ED48" i="6"/>
  <c r="ED21" i="6" s="1"/>
  <c r="ED49" i="6"/>
  <c r="ED22" i="6" s="1"/>
  <c r="ED50" i="6"/>
  <c r="ED23" i="6" s="1"/>
  <c r="ED51" i="6"/>
  <c r="ED24" i="6" s="1"/>
  <c r="ED52" i="6"/>
  <c r="ED25" i="6" s="1"/>
  <c r="ED53" i="6"/>
  <c r="ED26" i="6" s="1"/>
  <c r="ED54" i="6"/>
  <c r="ED27" i="6" s="1"/>
  <c r="ED55" i="6"/>
  <c r="ED28" i="6" s="1"/>
  <c r="ED56" i="6"/>
  <c r="ED29" i="6" s="1"/>
  <c r="AG145" i="5"/>
  <c r="AI144" i="5"/>
  <c r="AC126" i="5"/>
  <c r="C139" i="5"/>
  <c r="EF9" i="6" l="1"/>
  <c r="EE10" i="6"/>
  <c r="EE38" i="6"/>
  <c r="EE11" i="6" s="1"/>
  <c r="EE39" i="6"/>
  <c r="EE12" i="6" s="1"/>
  <c r="EE40" i="6"/>
  <c r="EE13" i="6" s="1"/>
  <c r="EE41" i="6"/>
  <c r="EE14" i="6" s="1"/>
  <c r="EE42" i="6"/>
  <c r="EE15" i="6" s="1"/>
  <c r="EE43" i="6"/>
  <c r="EE16" i="6" s="1"/>
  <c r="EE44" i="6"/>
  <c r="EE17" i="6" s="1"/>
  <c r="EE45" i="6"/>
  <c r="EE18" i="6" s="1"/>
  <c r="EE46" i="6"/>
  <c r="EE19" i="6" s="1"/>
  <c r="EE47" i="6"/>
  <c r="EE20" i="6" s="1"/>
  <c r="EE48" i="6"/>
  <c r="EE21" i="6" s="1"/>
  <c r="EE49" i="6"/>
  <c r="EE22" i="6" s="1"/>
  <c r="EE50" i="6"/>
  <c r="EE23" i="6" s="1"/>
  <c r="EE51" i="6"/>
  <c r="EE24" i="6" s="1"/>
  <c r="EE52" i="6"/>
  <c r="EE25" i="6" s="1"/>
  <c r="EE53" i="6"/>
  <c r="EE26" i="6" s="1"/>
  <c r="EE54" i="6"/>
  <c r="EE27" i="6" s="1"/>
  <c r="EE55" i="6"/>
  <c r="EE28" i="6" s="1"/>
  <c r="EE56" i="6"/>
  <c r="EE29" i="6" s="1"/>
  <c r="AG146" i="5"/>
  <c r="AI145" i="5"/>
  <c r="C140" i="5"/>
  <c r="AC127" i="5"/>
  <c r="E134" i="2"/>
  <c r="EG9" i="6" l="1"/>
  <c r="EF10" i="6"/>
  <c r="EF38" i="6"/>
  <c r="EF11" i="6" s="1"/>
  <c r="EF39" i="6"/>
  <c r="EF12" i="6" s="1"/>
  <c r="EF40" i="6"/>
  <c r="EF13" i="6" s="1"/>
  <c r="EF41" i="6"/>
  <c r="EF14" i="6" s="1"/>
  <c r="EF42" i="6"/>
  <c r="EF15" i="6" s="1"/>
  <c r="EF43" i="6"/>
  <c r="EF16" i="6" s="1"/>
  <c r="EF44" i="6"/>
  <c r="EF17" i="6" s="1"/>
  <c r="EF45" i="6"/>
  <c r="EF18" i="6" s="1"/>
  <c r="EF46" i="6"/>
  <c r="EF19" i="6" s="1"/>
  <c r="EF47" i="6"/>
  <c r="EF20" i="6" s="1"/>
  <c r="EF48" i="6"/>
  <c r="EF21" i="6" s="1"/>
  <c r="EF49" i="6"/>
  <c r="EF22" i="6" s="1"/>
  <c r="EF50" i="6"/>
  <c r="EF23" i="6" s="1"/>
  <c r="EF51" i="6"/>
  <c r="EF24" i="6" s="1"/>
  <c r="EF52" i="6"/>
  <c r="EF25" i="6" s="1"/>
  <c r="EF53" i="6"/>
  <c r="EF26" i="6" s="1"/>
  <c r="EF54" i="6"/>
  <c r="EF27" i="6" s="1"/>
  <c r="EF55" i="6"/>
  <c r="EF28" i="6" s="1"/>
  <c r="EF56" i="6"/>
  <c r="EF29" i="6" s="1"/>
  <c r="AG147" i="5"/>
  <c r="AI146" i="5"/>
  <c r="AC128" i="5"/>
  <c r="C141" i="5"/>
  <c r="E135" i="2"/>
  <c r="EH9" i="6" l="1"/>
  <c r="EG10" i="6"/>
  <c r="EG38" i="6"/>
  <c r="EG11" i="6" s="1"/>
  <c r="EG39" i="6"/>
  <c r="EG12" i="6" s="1"/>
  <c r="EG40" i="6"/>
  <c r="EG13" i="6" s="1"/>
  <c r="EG41" i="6"/>
  <c r="EG14" i="6" s="1"/>
  <c r="EG42" i="6"/>
  <c r="EG15" i="6" s="1"/>
  <c r="EG43" i="6"/>
  <c r="EG16" i="6" s="1"/>
  <c r="EG44" i="6"/>
  <c r="EG17" i="6" s="1"/>
  <c r="EG45" i="6"/>
  <c r="EG18" i="6" s="1"/>
  <c r="EG46" i="6"/>
  <c r="EG19" i="6" s="1"/>
  <c r="EG47" i="6"/>
  <c r="EG20" i="6" s="1"/>
  <c r="EG48" i="6"/>
  <c r="EG21" i="6" s="1"/>
  <c r="EG49" i="6"/>
  <c r="EG22" i="6" s="1"/>
  <c r="EG50" i="6"/>
  <c r="EG23" i="6" s="1"/>
  <c r="EG51" i="6"/>
  <c r="EG24" i="6" s="1"/>
  <c r="EG52" i="6"/>
  <c r="EG25" i="6" s="1"/>
  <c r="EG53" i="6"/>
  <c r="EG26" i="6" s="1"/>
  <c r="EG54" i="6"/>
  <c r="EG27" i="6" s="1"/>
  <c r="EG55" i="6"/>
  <c r="EG28" i="6" s="1"/>
  <c r="EG56" i="6"/>
  <c r="EG29" i="6" s="1"/>
  <c r="AG148" i="5"/>
  <c r="AI147" i="5"/>
  <c r="C142" i="5"/>
  <c r="AC129" i="5"/>
  <c r="E136" i="2"/>
  <c r="AE81" i="2"/>
  <c r="AE28" i="2"/>
  <c r="AE44" i="2"/>
  <c r="AE60" i="2"/>
  <c r="AE68" i="2"/>
  <c r="AE63" i="2"/>
  <c r="AE29" i="2"/>
  <c r="AE45" i="2"/>
  <c r="AE69" i="2"/>
  <c r="AE27" i="2"/>
  <c r="AE22" i="2"/>
  <c r="AE30" i="2"/>
  <c r="AE38" i="2"/>
  <c r="AE70" i="2"/>
  <c r="AE47" i="2"/>
  <c r="AE107" i="2"/>
  <c r="AE93" i="2"/>
  <c r="AE102" i="2"/>
  <c r="AE73" i="2"/>
  <c r="AE61" i="2"/>
  <c r="AE88" i="2"/>
  <c r="AE112" i="2"/>
  <c r="AE51" i="2"/>
  <c r="AE103" i="2"/>
  <c r="AE95" i="2"/>
  <c r="AE34" i="2"/>
  <c r="AE91" i="2"/>
  <c r="AE35" i="2"/>
  <c r="AE39" i="2"/>
  <c r="AE104" i="2"/>
  <c r="AE66" i="2"/>
  <c r="AE109" i="2"/>
  <c r="AE67" i="2"/>
  <c r="AE98" i="2"/>
  <c r="AE106" i="2"/>
  <c r="AE96" i="2"/>
  <c r="AE84" i="2"/>
  <c r="AE85" i="2"/>
  <c r="AE42" i="2"/>
  <c r="AE82" i="2"/>
  <c r="AE62" i="2"/>
  <c r="AE41" i="2"/>
  <c r="AE52" i="2"/>
  <c r="AE26" i="2"/>
  <c r="AE24" i="2"/>
  <c r="AE65" i="2"/>
  <c r="AE77" i="2"/>
  <c r="AE80" i="2"/>
  <c r="AE72" i="2"/>
  <c r="AE75" i="2"/>
  <c r="AE71" i="2"/>
  <c r="AE108" i="2"/>
  <c r="AE105" i="2"/>
  <c r="AE48" i="2"/>
  <c r="AE54" i="2"/>
  <c r="AE33" i="2"/>
  <c r="AE100" i="2"/>
  <c r="AE111" i="2"/>
  <c r="AE21" i="2"/>
  <c r="AE20" i="2"/>
  <c r="AE31" i="2"/>
  <c r="AE49" i="2"/>
  <c r="AE86" i="2"/>
  <c r="AE64" i="2"/>
  <c r="AE99" i="2"/>
  <c r="AE83" i="2"/>
  <c r="AE89" i="2"/>
  <c r="AE97" i="2"/>
  <c r="AE94" i="2"/>
  <c r="AE74" i="2"/>
  <c r="AE76" i="2"/>
  <c r="AE55" i="2"/>
  <c r="AE43" i="2"/>
  <c r="AE32" i="2"/>
  <c r="AE87" i="2"/>
  <c r="AE36" i="2"/>
  <c r="AE46" i="2"/>
  <c r="AE25" i="2"/>
  <c r="AE50" i="2"/>
  <c r="AE23" i="2"/>
  <c r="AE79" i="2"/>
  <c r="AE110" i="2"/>
  <c r="AE101" i="2"/>
  <c r="AE78" i="2"/>
  <c r="AE59" i="2"/>
  <c r="AE92" i="2"/>
  <c r="AE40" i="2"/>
  <c r="AE37" i="2"/>
  <c r="AE90" i="2"/>
  <c r="AE56" i="2"/>
  <c r="AE19" i="2"/>
  <c r="AE57" i="2"/>
  <c r="AE53" i="2"/>
  <c r="AE58" i="2"/>
  <c r="EI9" i="6" l="1"/>
  <c r="EH10" i="6"/>
  <c r="EH38" i="6"/>
  <c r="EH11" i="6" s="1"/>
  <c r="EH39" i="6"/>
  <c r="EH12" i="6" s="1"/>
  <c r="EH40" i="6"/>
  <c r="EH13" i="6" s="1"/>
  <c r="EH41" i="6"/>
  <c r="EH14" i="6" s="1"/>
  <c r="EH42" i="6"/>
  <c r="EH15" i="6" s="1"/>
  <c r="EH43" i="6"/>
  <c r="EH16" i="6" s="1"/>
  <c r="EH44" i="6"/>
  <c r="EH17" i="6" s="1"/>
  <c r="EH45" i="6"/>
  <c r="EH18" i="6" s="1"/>
  <c r="EH46" i="6"/>
  <c r="EH19" i="6" s="1"/>
  <c r="EH47" i="6"/>
  <c r="EH20" i="6" s="1"/>
  <c r="EH48" i="6"/>
  <c r="EH21" i="6" s="1"/>
  <c r="EH49" i="6"/>
  <c r="EH22" i="6" s="1"/>
  <c r="EH50" i="6"/>
  <c r="EH23" i="6" s="1"/>
  <c r="EH51" i="6"/>
  <c r="EH24" i="6" s="1"/>
  <c r="EH52" i="6"/>
  <c r="EH25" i="6" s="1"/>
  <c r="EH53" i="6"/>
  <c r="EH26" i="6" s="1"/>
  <c r="EH54" i="6"/>
  <c r="EH27" i="6" s="1"/>
  <c r="EH55" i="6"/>
  <c r="EH28" i="6" s="1"/>
  <c r="EH56" i="6"/>
  <c r="EH29" i="6" s="1"/>
  <c r="AG149" i="5"/>
  <c r="AI148" i="5"/>
  <c r="AC130" i="5"/>
  <c r="C143" i="5"/>
  <c r="E137" i="2"/>
  <c r="EJ9" i="6" l="1"/>
  <c r="EI10" i="6"/>
  <c r="EI38" i="6"/>
  <c r="EI11" i="6" s="1"/>
  <c r="EI39" i="6"/>
  <c r="EI12" i="6" s="1"/>
  <c r="EI40" i="6"/>
  <c r="EI13" i="6" s="1"/>
  <c r="EI41" i="6"/>
  <c r="EI14" i="6" s="1"/>
  <c r="EI42" i="6"/>
  <c r="EI15" i="6" s="1"/>
  <c r="EI43" i="6"/>
  <c r="EI16" i="6" s="1"/>
  <c r="EI44" i="6"/>
  <c r="EI17" i="6" s="1"/>
  <c r="EI45" i="6"/>
  <c r="EI18" i="6" s="1"/>
  <c r="EI46" i="6"/>
  <c r="EI19" i="6" s="1"/>
  <c r="EI47" i="6"/>
  <c r="EI20" i="6" s="1"/>
  <c r="EI48" i="6"/>
  <c r="EI21" i="6" s="1"/>
  <c r="EI49" i="6"/>
  <c r="EI22" i="6" s="1"/>
  <c r="EI50" i="6"/>
  <c r="EI23" i="6" s="1"/>
  <c r="EI51" i="6"/>
  <c r="EI24" i="6" s="1"/>
  <c r="EI52" i="6"/>
  <c r="EI25" i="6" s="1"/>
  <c r="EI53" i="6"/>
  <c r="EI26" i="6" s="1"/>
  <c r="EI54" i="6"/>
  <c r="EI27" i="6" s="1"/>
  <c r="EI55" i="6"/>
  <c r="EI28" i="6" s="1"/>
  <c r="EI56" i="6"/>
  <c r="EI29" i="6" s="1"/>
  <c r="AG150" i="5"/>
  <c r="AI149" i="5"/>
  <c r="C144" i="5"/>
  <c r="AC131" i="5"/>
  <c r="E138" i="2"/>
  <c r="EK9" i="6" l="1"/>
  <c r="EJ10" i="6"/>
  <c r="EJ38" i="6"/>
  <c r="EJ11" i="6" s="1"/>
  <c r="EJ39" i="6"/>
  <c r="EJ12" i="6" s="1"/>
  <c r="EJ40" i="6"/>
  <c r="EJ13" i="6" s="1"/>
  <c r="EJ41" i="6"/>
  <c r="EJ14" i="6" s="1"/>
  <c r="EJ42" i="6"/>
  <c r="EJ15" i="6" s="1"/>
  <c r="EJ43" i="6"/>
  <c r="EJ16" i="6" s="1"/>
  <c r="EJ44" i="6"/>
  <c r="EJ17" i="6" s="1"/>
  <c r="EJ45" i="6"/>
  <c r="EJ18" i="6" s="1"/>
  <c r="EJ46" i="6"/>
  <c r="EJ19" i="6" s="1"/>
  <c r="EJ47" i="6"/>
  <c r="EJ20" i="6" s="1"/>
  <c r="EJ48" i="6"/>
  <c r="EJ21" i="6" s="1"/>
  <c r="EJ49" i="6"/>
  <c r="EJ22" i="6" s="1"/>
  <c r="EJ50" i="6"/>
  <c r="EJ23" i="6" s="1"/>
  <c r="EJ51" i="6"/>
  <c r="EJ24" i="6" s="1"/>
  <c r="EJ52" i="6"/>
  <c r="EJ25" i="6" s="1"/>
  <c r="EJ53" i="6"/>
  <c r="EJ26" i="6" s="1"/>
  <c r="EJ54" i="6"/>
  <c r="EJ27" i="6" s="1"/>
  <c r="EJ55" i="6"/>
  <c r="EJ28" i="6" s="1"/>
  <c r="EJ56" i="6"/>
  <c r="EJ29" i="6" s="1"/>
  <c r="AG151" i="5"/>
  <c r="AI150" i="5"/>
  <c r="AC132" i="5"/>
  <c r="C145" i="5"/>
  <c r="E139" i="2"/>
  <c r="EL9" i="6" l="1"/>
  <c r="EK10" i="6"/>
  <c r="EK38" i="6"/>
  <c r="EK11" i="6" s="1"/>
  <c r="EK39" i="6"/>
  <c r="EK12" i="6" s="1"/>
  <c r="EK40" i="6"/>
  <c r="EK13" i="6" s="1"/>
  <c r="EK41" i="6"/>
  <c r="EK14" i="6" s="1"/>
  <c r="EK42" i="6"/>
  <c r="EK15" i="6" s="1"/>
  <c r="EK43" i="6"/>
  <c r="EK16" i="6" s="1"/>
  <c r="EK44" i="6"/>
  <c r="EK17" i="6" s="1"/>
  <c r="EK45" i="6"/>
  <c r="EK18" i="6" s="1"/>
  <c r="EK46" i="6"/>
  <c r="EK19" i="6" s="1"/>
  <c r="EK47" i="6"/>
  <c r="EK20" i="6" s="1"/>
  <c r="EK48" i="6"/>
  <c r="EK21" i="6" s="1"/>
  <c r="EK49" i="6"/>
  <c r="EK22" i="6" s="1"/>
  <c r="EK50" i="6"/>
  <c r="EK23" i="6" s="1"/>
  <c r="EK51" i="6"/>
  <c r="EK24" i="6" s="1"/>
  <c r="EK52" i="6"/>
  <c r="EK25" i="6" s="1"/>
  <c r="EK53" i="6"/>
  <c r="EK26" i="6" s="1"/>
  <c r="EK54" i="6"/>
  <c r="EK27" i="6" s="1"/>
  <c r="EK55" i="6"/>
  <c r="EK28" i="6" s="1"/>
  <c r="EK56" i="6"/>
  <c r="EK29" i="6" s="1"/>
  <c r="AG152" i="5"/>
  <c r="AI151" i="5"/>
  <c r="C146" i="5"/>
  <c r="AC133" i="5"/>
  <c r="E140" i="2"/>
  <c r="EM9" i="6" l="1"/>
  <c r="EL10" i="6"/>
  <c r="EL38" i="6"/>
  <c r="EL11" i="6" s="1"/>
  <c r="EL39" i="6"/>
  <c r="EL12" i="6" s="1"/>
  <c r="EL40" i="6"/>
  <c r="EL13" i="6" s="1"/>
  <c r="EL41" i="6"/>
  <c r="EL14" i="6" s="1"/>
  <c r="EL42" i="6"/>
  <c r="EL15" i="6" s="1"/>
  <c r="EL43" i="6"/>
  <c r="EL16" i="6" s="1"/>
  <c r="EL44" i="6"/>
  <c r="EL17" i="6" s="1"/>
  <c r="EL45" i="6"/>
  <c r="EL18" i="6" s="1"/>
  <c r="EL46" i="6"/>
  <c r="EL19" i="6" s="1"/>
  <c r="EL47" i="6"/>
  <c r="EL20" i="6" s="1"/>
  <c r="EL48" i="6"/>
  <c r="EL21" i="6" s="1"/>
  <c r="EL49" i="6"/>
  <c r="EL22" i="6" s="1"/>
  <c r="EL50" i="6"/>
  <c r="EL23" i="6" s="1"/>
  <c r="EL51" i="6"/>
  <c r="EL24" i="6" s="1"/>
  <c r="EL52" i="6"/>
  <c r="EL25" i="6" s="1"/>
  <c r="EL53" i="6"/>
  <c r="EL26" i="6" s="1"/>
  <c r="EL54" i="6"/>
  <c r="EL27" i="6" s="1"/>
  <c r="EL55" i="6"/>
  <c r="EL28" i="6" s="1"/>
  <c r="EL56" i="6"/>
  <c r="EL29" i="6" s="1"/>
  <c r="AG153" i="5"/>
  <c r="AI152" i="5"/>
  <c r="C147" i="5"/>
  <c r="AC134" i="5"/>
  <c r="E141" i="2"/>
  <c r="EM10" i="6" l="1"/>
  <c r="EN9" i="6"/>
  <c r="EM38" i="6"/>
  <c r="EM11" i="6" s="1"/>
  <c r="EM39" i="6"/>
  <c r="EM12" i="6" s="1"/>
  <c r="EM40" i="6"/>
  <c r="EM13" i="6" s="1"/>
  <c r="EM41" i="6"/>
  <c r="EM14" i="6" s="1"/>
  <c r="EM42" i="6"/>
  <c r="EM15" i="6" s="1"/>
  <c r="EM43" i="6"/>
  <c r="EM16" i="6" s="1"/>
  <c r="EM44" i="6"/>
  <c r="EM17" i="6" s="1"/>
  <c r="EM45" i="6"/>
  <c r="EM18" i="6" s="1"/>
  <c r="EM46" i="6"/>
  <c r="EM19" i="6" s="1"/>
  <c r="EM47" i="6"/>
  <c r="EM20" i="6" s="1"/>
  <c r="EM48" i="6"/>
  <c r="EM21" i="6" s="1"/>
  <c r="EM49" i="6"/>
  <c r="EM22" i="6" s="1"/>
  <c r="EM50" i="6"/>
  <c r="EM23" i="6" s="1"/>
  <c r="EM51" i="6"/>
  <c r="EM24" i="6" s="1"/>
  <c r="EM52" i="6"/>
  <c r="EM25" i="6" s="1"/>
  <c r="EM53" i="6"/>
  <c r="EM26" i="6" s="1"/>
  <c r="EM54" i="6"/>
  <c r="EM27" i="6" s="1"/>
  <c r="EM55" i="6"/>
  <c r="EM28" i="6" s="1"/>
  <c r="EM56" i="6"/>
  <c r="EM29" i="6" s="1"/>
  <c r="AG154" i="5"/>
  <c r="AI153" i="5"/>
  <c r="C148" i="5"/>
  <c r="AC135" i="5"/>
  <c r="E142" i="2"/>
  <c r="EO9" i="6" l="1"/>
  <c r="EN10" i="6"/>
  <c r="EN38" i="6"/>
  <c r="EN11" i="6" s="1"/>
  <c r="EN39" i="6"/>
  <c r="EN12" i="6" s="1"/>
  <c r="EN40" i="6"/>
  <c r="EN13" i="6" s="1"/>
  <c r="EN41" i="6"/>
  <c r="EN14" i="6" s="1"/>
  <c r="EN42" i="6"/>
  <c r="EN15" i="6" s="1"/>
  <c r="EN43" i="6"/>
  <c r="EN16" i="6" s="1"/>
  <c r="EN44" i="6"/>
  <c r="EN17" i="6" s="1"/>
  <c r="EN45" i="6"/>
  <c r="EN18" i="6" s="1"/>
  <c r="EN46" i="6"/>
  <c r="EN19" i="6" s="1"/>
  <c r="EN47" i="6"/>
  <c r="EN20" i="6" s="1"/>
  <c r="EN48" i="6"/>
  <c r="EN21" i="6" s="1"/>
  <c r="EN49" i="6"/>
  <c r="EN22" i="6" s="1"/>
  <c r="EN50" i="6"/>
  <c r="EN23" i="6" s="1"/>
  <c r="EN51" i="6"/>
  <c r="EN24" i="6" s="1"/>
  <c r="EN52" i="6"/>
  <c r="EN25" i="6" s="1"/>
  <c r="EN53" i="6"/>
  <c r="EN26" i="6" s="1"/>
  <c r="EN54" i="6"/>
  <c r="EN27" i="6" s="1"/>
  <c r="EN55" i="6"/>
  <c r="EN28" i="6" s="1"/>
  <c r="EN56" i="6"/>
  <c r="EN29" i="6" s="1"/>
  <c r="AG155" i="5"/>
  <c r="AI154" i="5"/>
  <c r="AC136" i="5"/>
  <c r="C149" i="5"/>
  <c r="E143" i="2"/>
  <c r="EP9" i="6" l="1"/>
  <c r="EO10" i="6"/>
  <c r="EO38" i="6"/>
  <c r="EO11" i="6" s="1"/>
  <c r="EO39" i="6"/>
  <c r="EO12" i="6" s="1"/>
  <c r="EO40" i="6"/>
  <c r="EO13" i="6" s="1"/>
  <c r="EO41" i="6"/>
  <c r="EO14" i="6" s="1"/>
  <c r="EO42" i="6"/>
  <c r="EO15" i="6" s="1"/>
  <c r="EO43" i="6"/>
  <c r="EO16" i="6" s="1"/>
  <c r="EO44" i="6"/>
  <c r="EO17" i="6" s="1"/>
  <c r="EO45" i="6"/>
  <c r="EO18" i="6" s="1"/>
  <c r="EO46" i="6"/>
  <c r="EO19" i="6" s="1"/>
  <c r="EO47" i="6"/>
  <c r="EO20" i="6" s="1"/>
  <c r="EO48" i="6"/>
  <c r="EO21" i="6" s="1"/>
  <c r="EO49" i="6"/>
  <c r="EO22" i="6" s="1"/>
  <c r="EO50" i="6"/>
  <c r="EO23" i="6" s="1"/>
  <c r="EO51" i="6"/>
  <c r="EO24" i="6" s="1"/>
  <c r="EO52" i="6"/>
  <c r="EO25" i="6" s="1"/>
  <c r="EO53" i="6"/>
  <c r="EO26" i="6" s="1"/>
  <c r="EO54" i="6"/>
  <c r="EO27" i="6" s="1"/>
  <c r="EO55" i="6"/>
  <c r="EO28" i="6" s="1"/>
  <c r="EO56" i="6"/>
  <c r="EO29" i="6" s="1"/>
  <c r="AG156" i="5"/>
  <c r="AI155" i="5"/>
  <c r="C150" i="5"/>
  <c r="AC137" i="5"/>
  <c r="E144" i="2"/>
  <c r="EQ9" i="6" l="1"/>
  <c r="EP10" i="6"/>
  <c r="EP38" i="6"/>
  <c r="EP11" i="6" s="1"/>
  <c r="EP39" i="6"/>
  <c r="EP12" i="6" s="1"/>
  <c r="EP40" i="6"/>
  <c r="EP13" i="6" s="1"/>
  <c r="EP41" i="6"/>
  <c r="EP14" i="6" s="1"/>
  <c r="EP42" i="6"/>
  <c r="EP15" i="6" s="1"/>
  <c r="EP43" i="6"/>
  <c r="EP16" i="6" s="1"/>
  <c r="EP44" i="6"/>
  <c r="EP17" i="6" s="1"/>
  <c r="EP45" i="6"/>
  <c r="EP18" i="6" s="1"/>
  <c r="EP46" i="6"/>
  <c r="EP19" i="6" s="1"/>
  <c r="EP47" i="6"/>
  <c r="EP20" i="6" s="1"/>
  <c r="EP48" i="6"/>
  <c r="EP21" i="6" s="1"/>
  <c r="EP49" i="6"/>
  <c r="EP22" i="6" s="1"/>
  <c r="EP50" i="6"/>
  <c r="EP23" i="6" s="1"/>
  <c r="EP51" i="6"/>
  <c r="EP24" i="6" s="1"/>
  <c r="EP52" i="6"/>
  <c r="EP25" i="6" s="1"/>
  <c r="EP53" i="6"/>
  <c r="EP26" i="6" s="1"/>
  <c r="EP54" i="6"/>
  <c r="EP27" i="6" s="1"/>
  <c r="EP55" i="6"/>
  <c r="EP28" i="6" s="1"/>
  <c r="EP56" i="6"/>
  <c r="EP29" i="6" s="1"/>
  <c r="AG157" i="5"/>
  <c r="AI156" i="5"/>
  <c r="AC138" i="5"/>
  <c r="C151" i="5"/>
  <c r="AI86" i="5"/>
  <c r="ER9" i="6" l="1"/>
  <c r="EQ10" i="6"/>
  <c r="EQ38" i="6"/>
  <c r="EQ11" i="6" s="1"/>
  <c r="EQ39" i="6"/>
  <c r="EQ12" i="6" s="1"/>
  <c r="EQ40" i="6"/>
  <c r="EQ13" i="6" s="1"/>
  <c r="EQ41" i="6"/>
  <c r="EQ14" i="6" s="1"/>
  <c r="EQ42" i="6"/>
  <c r="EQ15" i="6" s="1"/>
  <c r="EQ43" i="6"/>
  <c r="EQ16" i="6" s="1"/>
  <c r="EQ44" i="6"/>
  <c r="EQ17" i="6" s="1"/>
  <c r="EQ45" i="6"/>
  <c r="EQ18" i="6" s="1"/>
  <c r="EQ46" i="6"/>
  <c r="EQ19" i="6" s="1"/>
  <c r="EQ47" i="6"/>
  <c r="EQ20" i="6" s="1"/>
  <c r="EQ48" i="6"/>
  <c r="EQ21" i="6" s="1"/>
  <c r="EQ49" i="6"/>
  <c r="EQ22" i="6" s="1"/>
  <c r="EQ50" i="6"/>
  <c r="EQ23" i="6" s="1"/>
  <c r="EQ51" i="6"/>
  <c r="EQ24" i="6" s="1"/>
  <c r="EQ52" i="6"/>
  <c r="EQ25" i="6" s="1"/>
  <c r="EQ53" i="6"/>
  <c r="EQ26" i="6" s="1"/>
  <c r="EQ54" i="6"/>
  <c r="EQ27" i="6" s="1"/>
  <c r="EQ55" i="6"/>
  <c r="EQ28" i="6" s="1"/>
  <c r="EQ56" i="6"/>
  <c r="EQ29" i="6" s="1"/>
  <c r="AG158" i="5"/>
  <c r="AI157" i="5"/>
  <c r="C152" i="5"/>
  <c r="AC139" i="5"/>
  <c r="AI24" i="5"/>
  <c r="ES9" i="6" l="1"/>
  <c r="ER38" i="6"/>
  <c r="ER11" i="6" s="1"/>
  <c r="ER10" i="6"/>
  <c r="ER39" i="6"/>
  <c r="ER12" i="6" s="1"/>
  <c r="ER40" i="6"/>
  <c r="ER13" i="6" s="1"/>
  <c r="ER41" i="6"/>
  <c r="ER14" i="6" s="1"/>
  <c r="ER42" i="6"/>
  <c r="ER15" i="6" s="1"/>
  <c r="ER43" i="6"/>
  <c r="ER16" i="6" s="1"/>
  <c r="ER44" i="6"/>
  <c r="ER17" i="6" s="1"/>
  <c r="ER45" i="6"/>
  <c r="ER18" i="6" s="1"/>
  <c r="ER46" i="6"/>
  <c r="ER19" i="6" s="1"/>
  <c r="ER47" i="6"/>
  <c r="ER20" i="6" s="1"/>
  <c r="ER48" i="6"/>
  <c r="ER21" i="6" s="1"/>
  <c r="ER49" i="6"/>
  <c r="ER22" i="6" s="1"/>
  <c r="ER50" i="6"/>
  <c r="ER23" i="6" s="1"/>
  <c r="ER51" i="6"/>
  <c r="ER24" i="6" s="1"/>
  <c r="ER52" i="6"/>
  <c r="ER25" i="6" s="1"/>
  <c r="ER53" i="6"/>
  <c r="ER26" i="6" s="1"/>
  <c r="ER54" i="6"/>
  <c r="ER27" i="6" s="1"/>
  <c r="ER55" i="6"/>
  <c r="ER28" i="6" s="1"/>
  <c r="ER56" i="6"/>
  <c r="ER29" i="6" s="1"/>
  <c r="AG159" i="5"/>
  <c r="AI158" i="5"/>
  <c r="AC140" i="5"/>
  <c r="C153" i="5"/>
  <c r="ET9" i="6" l="1"/>
  <c r="ES10" i="6"/>
  <c r="ES38" i="6"/>
  <c r="ES11" i="6" s="1"/>
  <c r="ES39" i="6"/>
  <c r="ES12" i="6" s="1"/>
  <c r="ES40" i="6"/>
  <c r="ES13" i="6" s="1"/>
  <c r="ES41" i="6"/>
  <c r="ES14" i="6" s="1"/>
  <c r="ES42" i="6"/>
  <c r="ES15" i="6" s="1"/>
  <c r="ES43" i="6"/>
  <c r="ES16" i="6" s="1"/>
  <c r="ES44" i="6"/>
  <c r="ES17" i="6" s="1"/>
  <c r="ES45" i="6"/>
  <c r="ES18" i="6" s="1"/>
  <c r="ES46" i="6"/>
  <c r="ES19" i="6" s="1"/>
  <c r="ES47" i="6"/>
  <c r="ES20" i="6" s="1"/>
  <c r="ES48" i="6"/>
  <c r="ES21" i="6" s="1"/>
  <c r="ES49" i="6"/>
  <c r="ES22" i="6" s="1"/>
  <c r="ES50" i="6"/>
  <c r="ES23" i="6" s="1"/>
  <c r="ES51" i="6"/>
  <c r="ES24" i="6" s="1"/>
  <c r="ES52" i="6"/>
  <c r="ES25" i="6" s="1"/>
  <c r="ES53" i="6"/>
  <c r="ES26" i="6" s="1"/>
  <c r="ES54" i="6"/>
  <c r="ES27" i="6" s="1"/>
  <c r="ES55" i="6"/>
  <c r="ES28" i="6" s="1"/>
  <c r="ES56" i="6"/>
  <c r="ES29" i="6" s="1"/>
  <c r="AG160" i="5"/>
  <c r="AI159" i="5"/>
  <c r="C154" i="5"/>
  <c r="AC141" i="5"/>
  <c r="ET10" i="6" l="1"/>
  <c r="ET38" i="6"/>
  <c r="ET11" i="6" s="1"/>
  <c r="ET39" i="6"/>
  <c r="ET12" i="6" s="1"/>
  <c r="ET40" i="6"/>
  <c r="ET13" i="6" s="1"/>
  <c r="ET41" i="6"/>
  <c r="ET14" i="6" s="1"/>
  <c r="ET42" i="6"/>
  <c r="ET15" i="6" s="1"/>
  <c r="ET43" i="6"/>
  <c r="ET16" i="6" s="1"/>
  <c r="ET44" i="6"/>
  <c r="ET17" i="6" s="1"/>
  <c r="ET45" i="6"/>
  <c r="ET18" i="6" s="1"/>
  <c r="ET46" i="6"/>
  <c r="ET19" i="6" s="1"/>
  <c r="ET47" i="6"/>
  <c r="ET20" i="6" s="1"/>
  <c r="ET48" i="6"/>
  <c r="ET21" i="6" s="1"/>
  <c r="ET49" i="6"/>
  <c r="ET22" i="6" s="1"/>
  <c r="ET50" i="6"/>
  <c r="ET23" i="6" s="1"/>
  <c r="ET51" i="6"/>
  <c r="ET24" i="6" s="1"/>
  <c r="ET52" i="6"/>
  <c r="ET25" i="6" s="1"/>
  <c r="ET53" i="6"/>
  <c r="ET26" i="6" s="1"/>
  <c r="ET54" i="6"/>
  <c r="ET27" i="6" s="1"/>
  <c r="ET55" i="6"/>
  <c r="ET28" i="6" s="1"/>
  <c r="ET56" i="6"/>
  <c r="ET29" i="6" s="1"/>
  <c r="AG161" i="5"/>
  <c r="AI160" i="5"/>
  <c r="AD120" i="5"/>
  <c r="AH120" i="5" s="1"/>
  <c r="AI120" i="5" s="1"/>
  <c r="AD121" i="5"/>
  <c r="AH121" i="5" s="1"/>
  <c r="AI121" i="5" s="1"/>
  <c r="C155" i="5"/>
  <c r="AC142" i="5"/>
  <c r="D37" i="5"/>
  <c r="AG162" i="5" l="1"/>
  <c r="AI161" i="5"/>
  <c r="C156" i="5"/>
  <c r="AC143" i="5"/>
  <c r="AD17" i="5"/>
  <c r="AG163" i="5" l="1"/>
  <c r="AI162" i="5"/>
  <c r="AC144" i="5"/>
  <c r="C157" i="5"/>
  <c r="AD23" i="5"/>
  <c r="AG164" i="5" l="1"/>
  <c r="AI163" i="5"/>
  <c r="C158" i="5"/>
  <c r="AC145" i="5"/>
  <c r="X9" i="2"/>
  <c r="X10" i="2" s="1"/>
  <c r="AE11" i="2" s="1"/>
  <c r="AI11" i="2" s="1"/>
  <c r="E145" i="2"/>
  <c r="AM11" i="2" l="1"/>
  <c r="AL19" i="2" s="1"/>
  <c r="AL20" i="2" s="1"/>
  <c r="AL21" i="2" s="1"/>
  <c r="AL22" i="2" s="1"/>
  <c r="AL23" i="2" s="1"/>
  <c r="AL24" i="2" s="1"/>
  <c r="AL25" i="2" s="1"/>
  <c r="AL26" i="2" s="1"/>
  <c r="AL27" i="2" s="1"/>
  <c r="AL28" i="2" s="1"/>
  <c r="AL29" i="2" s="1"/>
  <c r="AL30" i="2" s="1"/>
  <c r="AL31" i="2" s="1"/>
  <c r="AL32" i="2" s="1"/>
  <c r="AL33" i="2" s="1"/>
  <c r="AL34" i="2" s="1"/>
  <c r="AL35" i="2" s="1"/>
  <c r="AL36" i="2" s="1"/>
  <c r="AL37" i="2" s="1"/>
  <c r="AL38" i="2" s="1"/>
  <c r="AL39" i="2" s="1"/>
  <c r="AL40" i="2" s="1"/>
  <c r="AL41" i="2" s="1"/>
  <c r="AL42" i="2" s="1"/>
  <c r="AL43" i="2" s="1"/>
  <c r="AL44" i="2" s="1"/>
  <c r="AL45" i="2" s="1"/>
  <c r="AL46" i="2" s="1"/>
  <c r="AL47" i="2" s="1"/>
  <c r="AL48" i="2" s="1"/>
  <c r="AL49" i="2" s="1"/>
  <c r="AL50" i="2" s="1"/>
  <c r="AL51" i="2" s="1"/>
  <c r="AL52" i="2" s="1"/>
  <c r="AL53" i="2" s="1"/>
  <c r="AL54" i="2" s="1"/>
  <c r="AL55" i="2" s="1"/>
  <c r="AL56" i="2" s="1"/>
  <c r="AL57" i="2" s="1"/>
  <c r="AL58" i="2" s="1"/>
  <c r="AL59" i="2" s="1"/>
  <c r="AL60" i="2" s="1"/>
  <c r="AL61" i="2" s="1"/>
  <c r="AL62" i="2" s="1"/>
  <c r="AL63" i="2" s="1"/>
  <c r="AL64" i="2" s="1"/>
  <c r="AL65" i="2" s="1"/>
  <c r="AL66" i="2" s="1"/>
  <c r="AG165" i="5"/>
  <c r="AI164" i="5"/>
  <c r="AC146" i="5"/>
  <c r="C159" i="5"/>
  <c r="AD19" i="2"/>
  <c r="D50" i="2"/>
  <c r="M50" i="2" l="1"/>
  <c r="N50" i="2"/>
  <c r="K50" i="2"/>
  <c r="L50" i="2"/>
  <c r="H50" i="2"/>
  <c r="J50" i="2"/>
  <c r="I50" i="2"/>
  <c r="G50" i="2"/>
  <c r="AG166" i="5"/>
  <c r="AI165" i="5"/>
  <c r="C160" i="5"/>
  <c r="AC147" i="5"/>
  <c r="F50" i="2"/>
  <c r="AL67" i="2"/>
  <c r="AL68" i="2" s="1"/>
  <c r="AL69" i="2" s="1"/>
  <c r="AL70" i="2" s="1"/>
  <c r="AL71" i="2" s="1"/>
  <c r="AL72" i="2" s="1"/>
  <c r="AL73" i="2" s="1"/>
  <c r="AL74" i="2" s="1"/>
  <c r="AL75" i="2" s="1"/>
  <c r="AL76" i="2" s="1"/>
  <c r="AL77" i="2" s="1"/>
  <c r="AL78" i="2" s="1"/>
  <c r="AL79" i="2" s="1"/>
  <c r="AL80" i="2" s="1"/>
  <c r="AL81" i="2" s="1"/>
  <c r="AL82" i="2" s="1"/>
  <c r="AL83" i="2" s="1"/>
  <c r="AL84" i="2" s="1"/>
  <c r="AL85" i="2" s="1"/>
  <c r="AL86" i="2" s="1"/>
  <c r="AL87" i="2" s="1"/>
  <c r="AL88" i="2" s="1"/>
  <c r="AL89" i="2" s="1"/>
  <c r="AL90" i="2" s="1"/>
  <c r="AL91" i="2" s="1"/>
  <c r="AL92" i="2" s="1"/>
  <c r="AL93" i="2" s="1"/>
  <c r="AL94" i="2" s="1"/>
  <c r="AL95" i="2" s="1"/>
  <c r="AL96" i="2" s="1"/>
  <c r="AL97" i="2" s="1"/>
  <c r="AL98" i="2" s="1"/>
  <c r="AL99" i="2" s="1"/>
  <c r="AL100" i="2" s="1"/>
  <c r="AL101" i="2" s="1"/>
  <c r="AL102" i="2" s="1"/>
  <c r="AL103" i="2" s="1"/>
  <c r="AL104" i="2" s="1"/>
  <c r="AL105" i="2" s="1"/>
  <c r="AL106" i="2" s="1"/>
  <c r="AL107" i="2" s="1"/>
  <c r="AL108" i="2" s="1"/>
  <c r="AL109" i="2" s="1"/>
  <c r="AL110" i="2" s="1"/>
  <c r="AL111" i="2" s="1"/>
  <c r="AL112" i="2" s="1"/>
  <c r="AL113" i="2" s="1"/>
  <c r="AL114" i="2" s="1"/>
  <c r="AL115" i="2" s="1"/>
  <c r="AL116" i="2" s="1"/>
  <c r="AL117" i="2" s="1"/>
  <c r="AL118" i="2" s="1"/>
  <c r="AL119" i="2" s="1"/>
  <c r="AL120" i="2" s="1"/>
  <c r="AL121" i="2" s="1"/>
  <c r="AL122" i="2" s="1"/>
  <c r="AL123" i="2" s="1"/>
  <c r="AL124" i="2" s="1"/>
  <c r="AL125" i="2" s="1"/>
  <c r="AL126" i="2" s="1"/>
  <c r="AL127" i="2" s="1"/>
  <c r="AL128" i="2" s="1"/>
  <c r="AL129" i="2" s="1"/>
  <c r="AL130" i="2" s="1"/>
  <c r="AL131" i="2" s="1"/>
  <c r="AL132" i="2" s="1"/>
  <c r="AL133" i="2" s="1"/>
  <c r="AL134" i="2" s="1"/>
  <c r="AL135" i="2" s="1"/>
  <c r="AL136" i="2" s="1"/>
  <c r="AL137" i="2" s="1"/>
  <c r="AL138" i="2" s="1"/>
  <c r="AL139" i="2" s="1"/>
  <c r="AL140" i="2" s="1"/>
  <c r="AL141" i="2" s="1"/>
  <c r="AL142" i="2" s="1"/>
  <c r="AL143" i="2" s="1"/>
  <c r="AL144" i="2" s="1"/>
  <c r="AL145" i="2" s="1"/>
  <c r="AL146" i="2" s="1"/>
  <c r="AL147" i="2" s="1"/>
  <c r="AL148" i="2" s="1"/>
  <c r="AL149" i="2" s="1"/>
  <c r="AL150" i="2" s="1"/>
  <c r="AL151" i="2" s="1"/>
  <c r="AL152" i="2" s="1"/>
  <c r="AL153" i="2" s="1"/>
  <c r="AL154" i="2" s="1"/>
  <c r="AL155" i="2" s="1"/>
  <c r="AL156" i="2" s="1"/>
  <c r="AL157" i="2" s="1"/>
  <c r="AL158" i="2" s="1"/>
  <c r="AL159" i="2" s="1"/>
  <c r="AL160" i="2" s="1"/>
  <c r="AL161" i="2" s="1"/>
  <c r="AL162" i="2" s="1"/>
  <c r="AD20" i="2"/>
  <c r="AD21" i="2" s="1"/>
  <c r="AD22" i="2" s="1"/>
  <c r="AD23" i="2" s="1"/>
  <c r="AD24" i="2" s="1"/>
  <c r="AD25" i="2" s="1"/>
  <c r="AD26" i="2" s="1"/>
  <c r="AD27" i="2" s="1"/>
  <c r="AD28" i="2" s="1"/>
  <c r="AD29" i="2" s="1"/>
  <c r="D51" i="2"/>
  <c r="AH19" i="2"/>
  <c r="E50" i="2"/>
  <c r="M51" i="2" l="1"/>
  <c r="N51" i="2"/>
  <c r="K51" i="2"/>
  <c r="L51" i="2"/>
  <c r="H51" i="2"/>
  <c r="J51" i="2"/>
  <c r="I51" i="2"/>
  <c r="G51" i="2"/>
  <c r="AG167" i="5"/>
  <c r="AI166" i="5"/>
  <c r="AC148" i="5"/>
  <c r="C161" i="5"/>
  <c r="E51" i="2"/>
  <c r="F51" i="2"/>
  <c r="D52" i="2"/>
  <c r="AH20" i="2"/>
  <c r="AD30" i="2"/>
  <c r="M52" i="2" l="1"/>
  <c r="N52" i="2"/>
  <c r="K52" i="2"/>
  <c r="L52" i="2"/>
  <c r="H52" i="2"/>
  <c r="J52" i="2"/>
  <c r="I52" i="2"/>
  <c r="G52" i="2"/>
  <c r="AI167" i="5"/>
  <c r="C162" i="5"/>
  <c r="AC149" i="5"/>
  <c r="F52" i="2"/>
  <c r="D53" i="2"/>
  <c r="E52" i="2"/>
  <c r="AH21" i="2"/>
  <c r="AD31" i="2"/>
  <c r="AI168" i="5" l="1"/>
  <c r="AH23" i="5"/>
  <c r="M53" i="2"/>
  <c r="N53" i="2"/>
  <c r="K53" i="2"/>
  <c r="L53" i="2"/>
  <c r="H53" i="2"/>
  <c r="J53" i="2"/>
  <c r="I53" i="2"/>
  <c r="G53" i="2"/>
  <c r="C163" i="5"/>
  <c r="AC150" i="5"/>
  <c r="F53" i="2"/>
  <c r="D54" i="2"/>
  <c r="E53" i="2"/>
  <c r="AH22" i="2"/>
  <c r="AD32" i="2"/>
  <c r="AH17" i="5" l="1"/>
  <c r="AL17" i="5" s="1"/>
  <c r="AL23" i="5" s="1"/>
  <c r="AL168" i="5" s="1"/>
  <c r="AL169" i="5" s="1"/>
  <c r="AL20" i="5" s="1"/>
  <c r="D25" i="5" s="1"/>
  <c r="AH168" i="5"/>
  <c r="AH169" i="5" s="1"/>
  <c r="M54" i="2"/>
  <c r="N54" i="2"/>
  <c r="K54" i="2"/>
  <c r="L54" i="2"/>
  <c r="H54" i="2"/>
  <c r="J54" i="2"/>
  <c r="I54" i="2"/>
  <c r="G54" i="2"/>
  <c r="C164" i="5"/>
  <c r="AC151" i="5"/>
  <c r="F54" i="2"/>
  <c r="BE23" i="2"/>
  <c r="D55" i="2"/>
  <c r="E54" i="2"/>
  <c r="AH23" i="2"/>
  <c r="AH24" i="2" s="1"/>
  <c r="AD33" i="2"/>
  <c r="AD34" i="2" s="1"/>
  <c r="AD35" i="2" s="1"/>
  <c r="AD36" i="2" s="1"/>
  <c r="AD37" i="2" s="1"/>
  <c r="AD38" i="2" s="1"/>
  <c r="AD39" i="2" s="1"/>
  <c r="AD40" i="2" s="1"/>
  <c r="AD41" i="2" s="1"/>
  <c r="AD42" i="2" s="1"/>
  <c r="AD43" i="2" s="1"/>
  <c r="AD44" i="2" s="1"/>
  <c r="AD45" i="2" s="1"/>
  <c r="AD46" i="2" s="1"/>
  <c r="AD47" i="2" s="1"/>
  <c r="AD48" i="2" s="1"/>
  <c r="AD49" i="2" s="1"/>
  <c r="AD50" i="2" s="1"/>
  <c r="AD51" i="2" s="1"/>
  <c r="AD52" i="2" s="1"/>
  <c r="AD53" i="2" s="1"/>
  <c r="AD54" i="2" s="1"/>
  <c r="AD55" i="2" s="1"/>
  <c r="AD56" i="2" s="1"/>
  <c r="AD57" i="2" s="1"/>
  <c r="AD58" i="2" s="1"/>
  <c r="AD59" i="2" s="1"/>
  <c r="AD60" i="2" s="1"/>
  <c r="AD61" i="2" s="1"/>
  <c r="AD62" i="2" s="1"/>
  <c r="AD63" i="2" s="1"/>
  <c r="AD64" i="2" s="1"/>
  <c r="AD65" i="2" s="1"/>
  <c r="AD66" i="2" s="1"/>
  <c r="M55" i="2" l="1"/>
  <c r="N55" i="2"/>
  <c r="K55" i="2"/>
  <c r="L55" i="2"/>
  <c r="H55" i="2"/>
  <c r="J55" i="2"/>
  <c r="I55" i="2"/>
  <c r="G55" i="2"/>
  <c r="AC152" i="5"/>
  <c r="C165" i="5"/>
  <c r="F55" i="2"/>
  <c r="AD67" i="2"/>
  <c r="AD68" i="2" s="1"/>
  <c r="AD69" i="2" s="1"/>
  <c r="AD70" i="2" s="1"/>
  <c r="AD71" i="2" s="1"/>
  <c r="AD72" i="2" s="1"/>
  <c r="AD73" i="2" s="1"/>
  <c r="AD74" i="2" s="1"/>
  <c r="AD75" i="2" s="1"/>
  <c r="AD76" i="2" s="1"/>
  <c r="AD77" i="2" s="1"/>
  <c r="AD78" i="2" s="1"/>
  <c r="AD79" i="2" s="1"/>
  <c r="AD80" i="2" s="1"/>
  <c r="AD81" i="2" s="1"/>
  <c r="AD82" i="2" s="1"/>
  <c r="AD83" i="2" s="1"/>
  <c r="AD84" i="2" s="1"/>
  <c r="AD85" i="2" s="1"/>
  <c r="AD86" i="2" s="1"/>
  <c r="AD87" i="2" s="1"/>
  <c r="AD88" i="2" s="1"/>
  <c r="AD89" i="2" s="1"/>
  <c r="AD90" i="2" s="1"/>
  <c r="AD91" i="2" s="1"/>
  <c r="AD92" i="2" s="1"/>
  <c r="AD93" i="2" s="1"/>
  <c r="AD94" i="2" s="1"/>
  <c r="AD95" i="2" s="1"/>
  <c r="AD96" i="2" s="1"/>
  <c r="AD97" i="2" s="1"/>
  <c r="AD98" i="2" s="1"/>
  <c r="AD99" i="2" s="1"/>
  <c r="AD100" i="2" s="1"/>
  <c r="AD101" i="2" s="1"/>
  <c r="AD102" i="2" s="1"/>
  <c r="AD103" i="2" s="1"/>
  <c r="AD104" i="2" s="1"/>
  <c r="AD105" i="2" s="1"/>
  <c r="AD106" i="2" s="1"/>
  <c r="AD107" i="2" s="1"/>
  <c r="AD108" i="2" s="1"/>
  <c r="AD109" i="2" s="1"/>
  <c r="AD110" i="2" s="1"/>
  <c r="AD111" i="2" s="1"/>
  <c r="AD112" i="2" s="1"/>
  <c r="AD113" i="2" s="1"/>
  <c r="AD114" i="2" s="1"/>
  <c r="BD23" i="2"/>
  <c r="BE24" i="2"/>
  <c r="BE32" i="2"/>
  <c r="E55" i="2"/>
  <c r="D56" i="2"/>
  <c r="AH25" i="2"/>
  <c r="M56" i="2" l="1"/>
  <c r="N56" i="2"/>
  <c r="K56" i="2"/>
  <c r="L56" i="2"/>
  <c r="H56" i="2"/>
  <c r="J56" i="2"/>
  <c r="I56" i="2"/>
  <c r="G56" i="2"/>
  <c r="C166" i="5"/>
  <c r="AC153" i="5"/>
  <c r="F56" i="2"/>
  <c r="AD115" i="2"/>
  <c r="AD116" i="2" s="1"/>
  <c r="AD117" i="2" s="1"/>
  <c r="AD118" i="2" s="1"/>
  <c r="AD119" i="2" s="1"/>
  <c r="AD120" i="2" s="1"/>
  <c r="AD121" i="2" s="1"/>
  <c r="AD122" i="2" s="1"/>
  <c r="AD123" i="2" s="1"/>
  <c r="AD124" i="2" s="1"/>
  <c r="AD125" i="2" s="1"/>
  <c r="AD126" i="2" s="1"/>
  <c r="AD127" i="2" s="1"/>
  <c r="AD128" i="2" s="1"/>
  <c r="AD129" i="2" s="1"/>
  <c r="AD130" i="2" s="1"/>
  <c r="AD131" i="2" s="1"/>
  <c r="AD132" i="2" s="1"/>
  <c r="AD133" i="2" s="1"/>
  <c r="AD134" i="2" s="1"/>
  <c r="AD135" i="2" s="1"/>
  <c r="AD136" i="2" s="1"/>
  <c r="AD137" i="2" s="1"/>
  <c r="AD138" i="2" s="1"/>
  <c r="AD139" i="2" s="1"/>
  <c r="AD140" i="2" s="1"/>
  <c r="AD141" i="2" s="1"/>
  <c r="AD142" i="2" s="1"/>
  <c r="AD143" i="2" s="1"/>
  <c r="AD144" i="2" s="1"/>
  <c r="AD145" i="2" s="1"/>
  <c r="AD146" i="2" s="1"/>
  <c r="AD147" i="2" s="1"/>
  <c r="AD148" i="2" s="1"/>
  <c r="AD149" i="2" s="1"/>
  <c r="AD150" i="2" s="1"/>
  <c r="AD151" i="2" s="1"/>
  <c r="AD152" i="2" s="1"/>
  <c r="AD153" i="2" s="1"/>
  <c r="AD154" i="2" s="1"/>
  <c r="AD155" i="2" s="1"/>
  <c r="AD156" i="2" s="1"/>
  <c r="AD157" i="2" s="1"/>
  <c r="AD158" i="2" s="1"/>
  <c r="AD159" i="2" s="1"/>
  <c r="AD160" i="2" s="1"/>
  <c r="AD161" i="2" s="1"/>
  <c r="AD162" i="2" s="1"/>
  <c r="AP163" i="2" s="1"/>
  <c r="BE33" i="2"/>
  <c r="BD32" i="2"/>
  <c r="BE25" i="2"/>
  <c r="BD24" i="2"/>
  <c r="E56" i="2"/>
  <c r="D57" i="2"/>
  <c r="AH26" i="2"/>
  <c r="BD25" i="2" l="1"/>
  <c r="BE26" i="2"/>
  <c r="M57" i="2"/>
  <c r="N57" i="2"/>
  <c r="K57" i="2"/>
  <c r="L57" i="2"/>
  <c r="H57" i="2"/>
  <c r="J57" i="2"/>
  <c r="I57" i="2"/>
  <c r="G57" i="2"/>
  <c r="AC154" i="5"/>
  <c r="C167" i="5"/>
  <c r="F57" i="2"/>
  <c r="AP164" i="2"/>
  <c r="AR163" i="2"/>
  <c r="AR164" i="2" s="1"/>
  <c r="G19" i="2" s="1"/>
  <c r="G21" i="2" s="1"/>
  <c r="AQ163" i="2"/>
  <c r="AQ164" i="2" s="1"/>
  <c r="F19" i="2" s="1"/>
  <c r="F21" i="2" s="1"/>
  <c r="AX163" i="2"/>
  <c r="AX164" i="2" s="1"/>
  <c r="M19" i="2" s="1"/>
  <c r="M21" i="2" s="1"/>
  <c r="AU163" i="2"/>
  <c r="AU164" i="2" s="1"/>
  <c r="J19" i="2" s="1"/>
  <c r="J21" i="2" s="1"/>
  <c r="AS163" i="2"/>
  <c r="AS164" i="2" s="1"/>
  <c r="H19" i="2" s="1"/>
  <c r="H21" i="2" s="1"/>
  <c r="AT163" i="2"/>
  <c r="AT164" i="2" s="1"/>
  <c r="I19" i="2" s="1"/>
  <c r="I21" i="2" s="1"/>
  <c r="AV163" i="2"/>
  <c r="AV164" i="2" s="1"/>
  <c r="K19" i="2" s="1"/>
  <c r="K21" i="2" s="1"/>
  <c r="AY163" i="2"/>
  <c r="AY164" i="2" s="1"/>
  <c r="N19" i="2" s="1"/>
  <c r="N21" i="2" s="1"/>
  <c r="AW163" i="2"/>
  <c r="AW164" i="2" s="1"/>
  <c r="L19" i="2" s="1"/>
  <c r="L21" i="2" s="1"/>
  <c r="BE34" i="2"/>
  <c r="BD34" i="2" s="1"/>
  <c r="BD33" i="2"/>
  <c r="D58" i="2"/>
  <c r="E57" i="2"/>
  <c r="AH27" i="2"/>
  <c r="BD26" i="2" l="1"/>
  <c r="BE27" i="2"/>
  <c r="E19" i="2"/>
  <c r="E21" i="2" s="1"/>
  <c r="O18" i="2" s="1"/>
  <c r="I20" i="2"/>
  <c r="N20" i="2"/>
  <c r="AA18" i="2" s="1"/>
  <c r="J20" i="2"/>
  <c r="W18" i="2" s="1"/>
  <c r="K20" i="2"/>
  <c r="X18" i="2" s="1"/>
  <c r="M20" i="2"/>
  <c r="Z18" i="2" s="1"/>
  <c r="L20" i="2"/>
  <c r="Y18" i="2" s="1"/>
  <c r="H20" i="2"/>
  <c r="U18" i="2" s="1"/>
  <c r="M58" i="2"/>
  <c r="N58" i="2"/>
  <c r="K58" i="2"/>
  <c r="L58" i="2"/>
  <c r="H58" i="2"/>
  <c r="J58" i="2"/>
  <c r="I58" i="2"/>
  <c r="G58" i="2"/>
  <c r="C168" i="5"/>
  <c r="AC155" i="5"/>
  <c r="F58" i="2"/>
  <c r="D59" i="2"/>
  <c r="E58" i="2"/>
  <c r="AH28" i="2"/>
  <c r="BD27" i="2" l="1"/>
  <c r="BE28" i="2"/>
  <c r="L26" i="2"/>
  <c r="AE13" i="2" s="1"/>
  <c r="O22" i="2"/>
  <c r="O32" i="2" s="1"/>
  <c r="O16" i="2"/>
  <c r="O17" i="2" s="1"/>
  <c r="AE14" i="2" s="1"/>
  <c r="AI14" i="2" s="1"/>
  <c r="O23" i="2"/>
  <c r="M59" i="2"/>
  <c r="N59" i="2"/>
  <c r="K59" i="2"/>
  <c r="L59" i="2"/>
  <c r="H59" i="2"/>
  <c r="J59" i="2"/>
  <c r="I59" i="2"/>
  <c r="G59" i="2"/>
  <c r="AC156" i="5"/>
  <c r="C169" i="5"/>
  <c r="F59" i="2"/>
  <c r="D60" i="2"/>
  <c r="E59" i="2"/>
  <c r="AH29" i="2"/>
  <c r="BD28" i="2" l="1"/>
  <c r="BE29" i="2"/>
  <c r="E24" i="2"/>
  <c r="AI13" i="2" s="1"/>
  <c r="AM13" i="2" s="1"/>
  <c r="O34" i="2"/>
  <c r="O31" i="2"/>
  <c r="O30" i="2"/>
  <c r="O33" i="2"/>
  <c r="O29" i="2"/>
  <c r="O28" i="2"/>
  <c r="M60" i="2"/>
  <c r="N60" i="2"/>
  <c r="K60" i="2"/>
  <c r="L60" i="2"/>
  <c r="H60" i="2"/>
  <c r="J60" i="2"/>
  <c r="I60" i="2"/>
  <c r="G60" i="2"/>
  <c r="C170" i="5"/>
  <c r="AC157" i="5"/>
  <c r="F60" i="2"/>
  <c r="E60" i="2"/>
  <c r="D61" i="2"/>
  <c r="AH30" i="2"/>
  <c r="AM115" i="2" l="1"/>
  <c r="AM131" i="2"/>
  <c r="AI131" i="2" s="1"/>
  <c r="AM124" i="2"/>
  <c r="AI124" i="2" s="1"/>
  <c r="AM122" i="2"/>
  <c r="AI122" i="2" s="1"/>
  <c r="AM129" i="2"/>
  <c r="AI129" i="2" s="1"/>
  <c r="AM126" i="2"/>
  <c r="AI126" i="2" s="1"/>
  <c r="AM119" i="2"/>
  <c r="AI119" i="2" s="1"/>
  <c r="AM135" i="2"/>
  <c r="AI135" i="2" s="1"/>
  <c r="AM128" i="2"/>
  <c r="AI128" i="2" s="1"/>
  <c r="AM117" i="2"/>
  <c r="AI117" i="2" s="1"/>
  <c r="AM133" i="2"/>
  <c r="AI133" i="2" s="1"/>
  <c r="AM130" i="2"/>
  <c r="AI130" i="2" s="1"/>
  <c r="AM123" i="2"/>
  <c r="AI123" i="2" s="1"/>
  <c r="AM116" i="2"/>
  <c r="AM132" i="2"/>
  <c r="AI132" i="2" s="1"/>
  <c r="AM121" i="2"/>
  <c r="AI121" i="2" s="1"/>
  <c r="AM137" i="2"/>
  <c r="AI137" i="2" s="1"/>
  <c r="AM134" i="2"/>
  <c r="AI134" i="2" s="1"/>
  <c r="AM127" i="2"/>
  <c r="AI127" i="2" s="1"/>
  <c r="AM120" i="2"/>
  <c r="AI120" i="2" s="1"/>
  <c r="AM136" i="2"/>
  <c r="AI136" i="2" s="1"/>
  <c r="AM125" i="2"/>
  <c r="AI125" i="2" s="1"/>
  <c r="AM118" i="2"/>
  <c r="AI118" i="2" s="1"/>
  <c r="AM138" i="2"/>
  <c r="AI138" i="2" s="1"/>
  <c r="BD29" i="2"/>
  <c r="BE30" i="2"/>
  <c r="AM106" i="2"/>
  <c r="AI106" i="2" s="1"/>
  <c r="AM112" i="2"/>
  <c r="AI112" i="2" s="1"/>
  <c r="AM107" i="2"/>
  <c r="AI107" i="2" s="1"/>
  <c r="AM99" i="2"/>
  <c r="AI99" i="2" s="1"/>
  <c r="AM100" i="2"/>
  <c r="AI100" i="2" s="1"/>
  <c r="AM26" i="2"/>
  <c r="AI26" i="2" s="1"/>
  <c r="AJ26" i="2" s="1"/>
  <c r="AM21" i="2"/>
  <c r="AI21" i="2" s="1"/>
  <c r="AJ21" i="2" s="1"/>
  <c r="AM75" i="2"/>
  <c r="AI75" i="2" s="1"/>
  <c r="AM61" i="2"/>
  <c r="AI61" i="2" s="1"/>
  <c r="AM65" i="2"/>
  <c r="AI65" i="2" s="1"/>
  <c r="AM42" i="2"/>
  <c r="AI42" i="2" s="1"/>
  <c r="AM73" i="2"/>
  <c r="AI73" i="2" s="1"/>
  <c r="AM81" i="2"/>
  <c r="AI81" i="2" s="1"/>
  <c r="AM27" i="2"/>
  <c r="AI27" i="2" s="1"/>
  <c r="AJ27" i="2" s="1"/>
  <c r="AM34" i="2"/>
  <c r="AI34" i="2" s="1"/>
  <c r="AM44" i="2"/>
  <c r="AI44" i="2" s="1"/>
  <c r="AM78" i="2"/>
  <c r="AI78" i="2" s="1"/>
  <c r="AM23" i="2"/>
  <c r="AI23" i="2" s="1"/>
  <c r="AJ23" i="2" s="1"/>
  <c r="AM58" i="2"/>
  <c r="AI58" i="2" s="1"/>
  <c r="AM59" i="2"/>
  <c r="AI59" i="2" s="1"/>
  <c r="AM39" i="2"/>
  <c r="AI39" i="2" s="1"/>
  <c r="AM87" i="2"/>
  <c r="AI87" i="2" s="1"/>
  <c r="AM71" i="2"/>
  <c r="AI71" i="2" s="1"/>
  <c r="AM31" i="2"/>
  <c r="AI31" i="2" s="1"/>
  <c r="AM89" i="2"/>
  <c r="AI89" i="2" s="1"/>
  <c r="AM90" i="2"/>
  <c r="AI90" i="2" s="1"/>
  <c r="AM38" i="2"/>
  <c r="AI38" i="2" s="1"/>
  <c r="AM29" i="2"/>
  <c r="AI29" i="2" s="1"/>
  <c r="AJ29" i="2" s="1"/>
  <c r="AM111" i="2"/>
  <c r="AI111" i="2" s="1"/>
  <c r="AM109" i="2"/>
  <c r="AI109" i="2" s="1"/>
  <c r="AM110" i="2"/>
  <c r="AI110" i="2" s="1"/>
  <c r="AM91" i="2"/>
  <c r="AI91" i="2" s="1"/>
  <c r="AM102" i="2"/>
  <c r="AI102" i="2" s="1"/>
  <c r="AM94" i="2"/>
  <c r="AI94" i="2" s="1"/>
  <c r="AM41" i="2"/>
  <c r="AI41" i="2" s="1"/>
  <c r="AM55" i="2"/>
  <c r="AI55" i="2" s="1"/>
  <c r="AM62" i="2"/>
  <c r="AI62" i="2" s="1"/>
  <c r="AM56" i="2"/>
  <c r="AI56" i="2" s="1"/>
  <c r="AM25" i="2"/>
  <c r="AI25" i="2" s="1"/>
  <c r="AJ25" i="2" s="1"/>
  <c r="AM53" i="2"/>
  <c r="AI53" i="2" s="1"/>
  <c r="AM84" i="2"/>
  <c r="AI84" i="2" s="1"/>
  <c r="AM33" i="2"/>
  <c r="AI33" i="2" s="1"/>
  <c r="AM43" i="2"/>
  <c r="AI43" i="2" s="1"/>
  <c r="AM88" i="2"/>
  <c r="AI88" i="2" s="1"/>
  <c r="AM82" i="2"/>
  <c r="AI82" i="2" s="1"/>
  <c r="AM28" i="2"/>
  <c r="AI28" i="2" s="1"/>
  <c r="AJ28" i="2" s="1"/>
  <c r="AM69" i="2"/>
  <c r="AI69" i="2" s="1"/>
  <c r="AM24" i="2"/>
  <c r="AI24" i="2" s="1"/>
  <c r="AJ24" i="2" s="1"/>
  <c r="AM51" i="2"/>
  <c r="AI51" i="2" s="1"/>
  <c r="AM35" i="2"/>
  <c r="AI35" i="2" s="1"/>
  <c r="AM83" i="2"/>
  <c r="AI83" i="2" s="1"/>
  <c r="AM57" i="2"/>
  <c r="AI57" i="2" s="1"/>
  <c r="AM72" i="2"/>
  <c r="AI72" i="2" s="1"/>
  <c r="AM45" i="2"/>
  <c r="AI45" i="2" s="1"/>
  <c r="AM32" i="2"/>
  <c r="AI32" i="2" s="1"/>
  <c r="AM48" i="2"/>
  <c r="AI48" i="2" s="1"/>
  <c r="AM80" i="2"/>
  <c r="AI80" i="2" s="1"/>
  <c r="AM93" i="2"/>
  <c r="AI93" i="2" s="1"/>
  <c r="AM108" i="2"/>
  <c r="AI108" i="2" s="1"/>
  <c r="AM103" i="2"/>
  <c r="AI103" i="2" s="1"/>
  <c r="AM113" i="2"/>
  <c r="AI113" i="2" s="1"/>
  <c r="AM95" i="2"/>
  <c r="AI95" i="2" s="1"/>
  <c r="AM96" i="2"/>
  <c r="AI96" i="2" s="1"/>
  <c r="AM92" i="2"/>
  <c r="AI92" i="2" s="1"/>
  <c r="AM67" i="2"/>
  <c r="AI67" i="2" s="1"/>
  <c r="AM46" i="2"/>
  <c r="AI46" i="2" s="1"/>
  <c r="AM22" i="2"/>
  <c r="AI22" i="2" s="1"/>
  <c r="AJ22" i="2" s="1"/>
  <c r="AM37" i="2"/>
  <c r="AI37" i="2" s="1"/>
  <c r="AM36" i="2"/>
  <c r="AI36" i="2" s="1"/>
  <c r="AM19" i="2"/>
  <c r="AI19" i="2" s="1"/>
  <c r="AJ19" i="2" s="1"/>
  <c r="AM79" i="2"/>
  <c r="AI79" i="2" s="1"/>
  <c r="AM20" i="2"/>
  <c r="AI20" i="2" s="1"/>
  <c r="AJ20" i="2" s="1"/>
  <c r="AM64" i="2"/>
  <c r="AI64" i="2" s="1"/>
  <c r="AM77" i="2"/>
  <c r="AI77" i="2" s="1"/>
  <c r="AM40" i="2"/>
  <c r="AI40" i="2" s="1"/>
  <c r="AM66" i="2"/>
  <c r="AI66" i="2" s="1"/>
  <c r="AM74" i="2"/>
  <c r="AI74" i="2" s="1"/>
  <c r="AM52" i="2"/>
  <c r="AI52" i="2" s="1"/>
  <c r="AM49" i="2"/>
  <c r="AI49" i="2" s="1"/>
  <c r="AM85" i="2"/>
  <c r="AI85" i="2" s="1"/>
  <c r="AM68" i="2"/>
  <c r="AI68" i="2" s="1"/>
  <c r="AM76" i="2"/>
  <c r="AI76" i="2" s="1"/>
  <c r="AM98" i="2"/>
  <c r="AI98" i="2" s="1"/>
  <c r="AM97" i="2"/>
  <c r="AI97" i="2" s="1"/>
  <c r="AM101" i="2"/>
  <c r="AI101" i="2" s="1"/>
  <c r="AM54" i="2"/>
  <c r="AI54" i="2" s="1"/>
  <c r="AM30" i="2"/>
  <c r="AI30" i="2" s="1"/>
  <c r="AJ30" i="2" s="1"/>
  <c r="AM70" i="2"/>
  <c r="AI70" i="2" s="1"/>
  <c r="AM50" i="2"/>
  <c r="AI50" i="2" s="1"/>
  <c r="AM63" i="2"/>
  <c r="AI63" i="2" s="1"/>
  <c r="AM86" i="2"/>
  <c r="AI86" i="2" s="1"/>
  <c r="AM60" i="2"/>
  <c r="AI60" i="2" s="1"/>
  <c r="AM47" i="2"/>
  <c r="AI47" i="2" s="1"/>
  <c r="AM104" i="2"/>
  <c r="AI104" i="2" s="1"/>
  <c r="AM114" i="2"/>
  <c r="AI114" i="2" s="1"/>
  <c r="AM105" i="2"/>
  <c r="AI105" i="2" s="1"/>
  <c r="M61" i="2"/>
  <c r="N61" i="2"/>
  <c r="K61" i="2"/>
  <c r="L61" i="2"/>
  <c r="H61" i="2"/>
  <c r="J61" i="2"/>
  <c r="I61" i="2"/>
  <c r="G61" i="2"/>
  <c r="C171" i="5"/>
  <c r="AC158" i="5"/>
  <c r="F61" i="2"/>
  <c r="D62" i="2"/>
  <c r="E61" i="2"/>
  <c r="AH31" i="2"/>
  <c r="BD30" i="2" l="1"/>
  <c r="BE31" i="2"/>
  <c r="BD31" i="2" s="1"/>
  <c r="M62" i="2"/>
  <c r="N62" i="2"/>
  <c r="K62" i="2"/>
  <c r="L62" i="2"/>
  <c r="H62" i="2"/>
  <c r="J62" i="2"/>
  <c r="I62" i="2"/>
  <c r="G62" i="2"/>
  <c r="C172" i="5"/>
  <c r="AC159" i="5"/>
  <c r="F62" i="2"/>
  <c r="D63" i="2"/>
  <c r="E62" i="2"/>
  <c r="AH32" i="2"/>
  <c r="AJ31" i="2"/>
  <c r="M63" i="2" l="1"/>
  <c r="N63" i="2"/>
  <c r="K63" i="2"/>
  <c r="L63" i="2"/>
  <c r="H63" i="2"/>
  <c r="J63" i="2"/>
  <c r="I63" i="2"/>
  <c r="G63" i="2"/>
  <c r="AC160" i="5"/>
  <c r="C173" i="5"/>
  <c r="F63" i="2"/>
  <c r="D64" i="2"/>
  <c r="E63" i="2"/>
  <c r="AJ32" i="2"/>
  <c r="AH33" i="2"/>
  <c r="M64" i="2" l="1"/>
  <c r="N64" i="2"/>
  <c r="K64" i="2"/>
  <c r="L64" i="2"/>
  <c r="H64" i="2"/>
  <c r="J64" i="2"/>
  <c r="I64" i="2"/>
  <c r="G64" i="2"/>
  <c r="C174" i="5"/>
  <c r="AC161" i="5"/>
  <c r="F64" i="2"/>
  <c r="D65" i="2"/>
  <c r="E64" i="2"/>
  <c r="AH34" i="2"/>
  <c r="AJ33" i="2"/>
  <c r="M65" i="2" l="1"/>
  <c r="N65" i="2"/>
  <c r="K65" i="2"/>
  <c r="L65" i="2"/>
  <c r="H65" i="2"/>
  <c r="J65" i="2"/>
  <c r="I65" i="2"/>
  <c r="G65" i="2"/>
  <c r="AC162" i="5"/>
  <c r="C175" i="5"/>
  <c r="F65" i="2"/>
  <c r="D66" i="2"/>
  <c r="E65" i="2"/>
  <c r="AJ34" i="2"/>
  <c r="AH35" i="2"/>
  <c r="M66" i="2" l="1"/>
  <c r="N66" i="2"/>
  <c r="K66" i="2"/>
  <c r="L66" i="2"/>
  <c r="H66" i="2"/>
  <c r="J66" i="2"/>
  <c r="I66" i="2"/>
  <c r="G66" i="2"/>
  <c r="C176" i="5"/>
  <c r="AC163" i="5"/>
  <c r="F66" i="2"/>
  <c r="E66" i="2"/>
  <c r="D67" i="2"/>
  <c r="AH36" i="2"/>
  <c r="AJ35" i="2"/>
  <c r="M67" i="2" l="1"/>
  <c r="N67" i="2"/>
  <c r="K67" i="2"/>
  <c r="L67" i="2"/>
  <c r="H67" i="2"/>
  <c r="J67" i="2"/>
  <c r="I67" i="2"/>
  <c r="G67" i="2"/>
  <c r="AC164" i="5"/>
  <c r="C177" i="5"/>
  <c r="F67" i="2"/>
  <c r="E67" i="2"/>
  <c r="D68" i="2"/>
  <c r="AJ36" i="2"/>
  <c r="AH37" i="2"/>
  <c r="M68" i="2" l="1"/>
  <c r="N68" i="2"/>
  <c r="K68" i="2"/>
  <c r="L68" i="2"/>
  <c r="H68" i="2"/>
  <c r="J68" i="2"/>
  <c r="I68" i="2"/>
  <c r="G68" i="2"/>
  <c r="C178" i="5"/>
  <c r="AC165" i="5"/>
  <c r="F68" i="2"/>
  <c r="E68" i="2"/>
  <c r="D69" i="2"/>
  <c r="AH38" i="2"/>
  <c r="AJ37" i="2"/>
  <c r="M69" i="2" l="1"/>
  <c r="N69" i="2"/>
  <c r="K69" i="2"/>
  <c r="L69" i="2"/>
  <c r="H69" i="2"/>
  <c r="J69" i="2"/>
  <c r="I69" i="2"/>
  <c r="G69" i="2"/>
  <c r="C179" i="5"/>
  <c r="AC166" i="5"/>
  <c r="F69" i="2"/>
  <c r="D70" i="2"/>
  <c r="E69" i="2"/>
  <c r="AJ38" i="2"/>
  <c r="AH39" i="2"/>
  <c r="M70" i="2" l="1"/>
  <c r="N70" i="2"/>
  <c r="K70" i="2"/>
  <c r="L70" i="2"/>
  <c r="H70" i="2"/>
  <c r="J70" i="2"/>
  <c r="I70" i="2"/>
  <c r="G70" i="2"/>
  <c r="C180" i="5"/>
  <c r="AC167" i="5"/>
  <c r="AD168" i="5" s="1"/>
  <c r="F70" i="2"/>
  <c r="E70" i="2"/>
  <c r="D71" i="2"/>
  <c r="AH40" i="2"/>
  <c r="AJ39" i="2"/>
  <c r="M71" i="2" l="1"/>
  <c r="N71" i="2"/>
  <c r="K71" i="2"/>
  <c r="L71" i="2"/>
  <c r="H71" i="2"/>
  <c r="J71" i="2"/>
  <c r="I71" i="2"/>
  <c r="G71" i="2"/>
  <c r="Y160" i="5"/>
  <c r="Y161" i="5" s="1"/>
  <c r="V160" i="5"/>
  <c r="V161" i="5" s="1"/>
  <c r="U160" i="5"/>
  <c r="U161" i="5" s="1"/>
  <c r="T160" i="5"/>
  <c r="T161" i="5" s="1"/>
  <c r="W160" i="5"/>
  <c r="W161" i="5" s="1"/>
  <c r="Z160" i="5"/>
  <c r="Z161" i="5" s="1"/>
  <c r="S160" i="5"/>
  <c r="S161" i="5" s="1"/>
  <c r="X160" i="5"/>
  <c r="X161" i="5" s="1"/>
  <c r="Q160" i="5"/>
  <c r="Q161" i="5" s="1"/>
  <c r="R160" i="5"/>
  <c r="R161" i="5" s="1"/>
  <c r="C181" i="5"/>
  <c r="AD169" i="5"/>
  <c r="AD20" i="5" s="1"/>
  <c r="F71" i="2"/>
  <c r="D72" i="2"/>
  <c r="E71" i="2"/>
  <c r="AJ40" i="2"/>
  <c r="AH41" i="2"/>
  <c r="M72" i="2" l="1"/>
  <c r="N72" i="2"/>
  <c r="K72" i="2"/>
  <c r="L72" i="2"/>
  <c r="H72" i="2"/>
  <c r="J72" i="2"/>
  <c r="I72" i="2"/>
  <c r="G72" i="2"/>
  <c r="F72" i="2"/>
  <c r="E72" i="2"/>
  <c r="D73" i="2"/>
  <c r="AH42" i="2"/>
  <c r="AJ41" i="2"/>
  <c r="M73" i="2" l="1"/>
  <c r="N73" i="2"/>
  <c r="K73" i="2"/>
  <c r="L73" i="2"/>
  <c r="H73" i="2"/>
  <c r="J73" i="2"/>
  <c r="I73" i="2"/>
  <c r="G73" i="2"/>
  <c r="F73" i="2"/>
  <c r="E73" i="2"/>
  <c r="D74" i="2"/>
  <c r="AJ42" i="2"/>
  <c r="AH43" i="2"/>
  <c r="M74" i="2" l="1"/>
  <c r="N74" i="2"/>
  <c r="K74" i="2"/>
  <c r="L74" i="2"/>
  <c r="H74" i="2"/>
  <c r="J74" i="2"/>
  <c r="I74" i="2"/>
  <c r="G74" i="2"/>
  <c r="F74" i="2"/>
  <c r="D75" i="2"/>
  <c r="E74" i="2"/>
  <c r="AH44" i="2"/>
  <c r="AJ43" i="2"/>
  <c r="M75" i="2" l="1"/>
  <c r="N75" i="2"/>
  <c r="K75" i="2"/>
  <c r="L75" i="2"/>
  <c r="H75" i="2"/>
  <c r="J75" i="2"/>
  <c r="I75" i="2"/>
  <c r="G75" i="2"/>
  <c r="F75" i="2"/>
  <c r="D76" i="2"/>
  <c r="E75" i="2"/>
  <c r="AJ44" i="2"/>
  <c r="AH45" i="2"/>
  <c r="M76" i="2" l="1"/>
  <c r="N76" i="2"/>
  <c r="K76" i="2"/>
  <c r="L76" i="2"/>
  <c r="H76" i="2"/>
  <c r="J76" i="2"/>
  <c r="I76" i="2"/>
  <c r="G76" i="2"/>
  <c r="F76" i="2"/>
  <c r="D77" i="2"/>
  <c r="E76" i="2"/>
  <c r="AH46" i="2"/>
  <c r="AJ45" i="2"/>
  <c r="M77" i="2" l="1"/>
  <c r="N77" i="2"/>
  <c r="K77" i="2"/>
  <c r="L77" i="2"/>
  <c r="H77" i="2"/>
  <c r="J77" i="2"/>
  <c r="I77" i="2"/>
  <c r="G77" i="2"/>
  <c r="F77" i="2"/>
  <c r="D78" i="2"/>
  <c r="E77" i="2"/>
  <c r="AJ46" i="2"/>
  <c r="AH47" i="2"/>
  <c r="M78" i="2" l="1"/>
  <c r="N78" i="2"/>
  <c r="K78" i="2"/>
  <c r="L78" i="2"/>
  <c r="H78" i="2"/>
  <c r="J78" i="2"/>
  <c r="I78" i="2"/>
  <c r="G78" i="2"/>
  <c r="F78" i="2"/>
  <c r="E78" i="2"/>
  <c r="D79" i="2"/>
  <c r="AH48" i="2"/>
  <c r="AJ47" i="2"/>
  <c r="M79" i="2" l="1"/>
  <c r="N79" i="2"/>
  <c r="K79" i="2"/>
  <c r="L79" i="2"/>
  <c r="H79" i="2"/>
  <c r="J79" i="2"/>
  <c r="I79" i="2"/>
  <c r="G79" i="2"/>
  <c r="F79" i="2"/>
  <c r="E79" i="2"/>
  <c r="D80" i="2"/>
  <c r="AJ48" i="2"/>
  <c r="AH49" i="2"/>
  <c r="M80" i="2" l="1"/>
  <c r="N80" i="2"/>
  <c r="K80" i="2"/>
  <c r="L80" i="2"/>
  <c r="H80" i="2"/>
  <c r="J80" i="2"/>
  <c r="I80" i="2"/>
  <c r="G80" i="2"/>
  <c r="F80" i="2"/>
  <c r="E80" i="2"/>
  <c r="D81" i="2"/>
  <c r="AH50" i="2"/>
  <c r="AJ49" i="2"/>
  <c r="M81" i="2" l="1"/>
  <c r="N81" i="2"/>
  <c r="K81" i="2"/>
  <c r="L81" i="2"/>
  <c r="H81" i="2"/>
  <c r="J81" i="2"/>
  <c r="I81" i="2"/>
  <c r="G81" i="2"/>
  <c r="F81" i="2"/>
  <c r="E81" i="2"/>
  <c r="D82" i="2"/>
  <c r="AJ50" i="2"/>
  <c r="AH51" i="2"/>
  <c r="M82" i="2" l="1"/>
  <c r="N82" i="2"/>
  <c r="K82" i="2"/>
  <c r="L82" i="2"/>
  <c r="H82" i="2"/>
  <c r="J82" i="2"/>
  <c r="I82" i="2"/>
  <c r="G82" i="2"/>
  <c r="F82" i="2"/>
  <c r="E82" i="2"/>
  <c r="D83" i="2"/>
  <c r="AH52" i="2"/>
  <c r="AJ51" i="2"/>
  <c r="M83" i="2" l="1"/>
  <c r="N83" i="2"/>
  <c r="K83" i="2"/>
  <c r="L83" i="2"/>
  <c r="H83" i="2"/>
  <c r="J83" i="2"/>
  <c r="I83" i="2"/>
  <c r="G83" i="2"/>
  <c r="F83" i="2"/>
  <c r="E83" i="2"/>
  <c r="D84" i="2"/>
  <c r="AJ52" i="2"/>
  <c r="AH53" i="2"/>
  <c r="M84" i="2" l="1"/>
  <c r="N84" i="2"/>
  <c r="K84" i="2"/>
  <c r="L84" i="2"/>
  <c r="H84" i="2"/>
  <c r="J84" i="2"/>
  <c r="I84" i="2"/>
  <c r="G84" i="2"/>
  <c r="F84" i="2"/>
  <c r="E84" i="2"/>
  <c r="D85" i="2"/>
  <c r="AH54" i="2"/>
  <c r="AJ53" i="2"/>
  <c r="M85" i="2" l="1"/>
  <c r="N85" i="2"/>
  <c r="K85" i="2"/>
  <c r="L85" i="2"/>
  <c r="H85" i="2"/>
  <c r="J85" i="2"/>
  <c r="I85" i="2"/>
  <c r="G85" i="2"/>
  <c r="F85" i="2"/>
  <c r="E85" i="2"/>
  <c r="D86" i="2"/>
  <c r="AJ54" i="2"/>
  <c r="AH55" i="2"/>
  <c r="M86" i="2" l="1"/>
  <c r="N86" i="2"/>
  <c r="K86" i="2"/>
  <c r="L86" i="2"/>
  <c r="H86" i="2"/>
  <c r="J86" i="2"/>
  <c r="I86" i="2"/>
  <c r="G86" i="2"/>
  <c r="F86" i="2"/>
  <c r="E86" i="2"/>
  <c r="D87" i="2"/>
  <c r="AH56" i="2"/>
  <c r="AJ55" i="2"/>
  <c r="M87" i="2" l="1"/>
  <c r="N87" i="2"/>
  <c r="K87" i="2"/>
  <c r="L87" i="2"/>
  <c r="H87" i="2"/>
  <c r="J87" i="2"/>
  <c r="I87" i="2"/>
  <c r="G87" i="2"/>
  <c r="F87" i="2"/>
  <c r="E87" i="2"/>
  <c r="D88" i="2"/>
  <c r="AJ56" i="2"/>
  <c r="AH57" i="2"/>
  <c r="M88" i="2" l="1"/>
  <c r="N88" i="2"/>
  <c r="K88" i="2"/>
  <c r="L88" i="2"/>
  <c r="H88" i="2"/>
  <c r="J88" i="2"/>
  <c r="I88" i="2"/>
  <c r="G88" i="2"/>
  <c r="F88" i="2"/>
  <c r="E88" i="2"/>
  <c r="D89" i="2"/>
  <c r="AH58" i="2"/>
  <c r="AJ57" i="2"/>
  <c r="M89" i="2" l="1"/>
  <c r="N89" i="2"/>
  <c r="K89" i="2"/>
  <c r="L89" i="2"/>
  <c r="H89" i="2"/>
  <c r="J89" i="2"/>
  <c r="I89" i="2"/>
  <c r="G89" i="2"/>
  <c r="F89" i="2"/>
  <c r="E89" i="2"/>
  <c r="D90" i="2"/>
  <c r="AJ58" i="2"/>
  <c r="AH59" i="2"/>
  <c r="M90" i="2" l="1"/>
  <c r="N90" i="2"/>
  <c r="K90" i="2"/>
  <c r="L90" i="2"/>
  <c r="H90" i="2"/>
  <c r="J90" i="2"/>
  <c r="I90" i="2"/>
  <c r="G90" i="2"/>
  <c r="F90" i="2"/>
  <c r="E90" i="2"/>
  <c r="D91" i="2"/>
  <c r="AH60" i="2"/>
  <c r="AJ59" i="2"/>
  <c r="M91" i="2" l="1"/>
  <c r="N91" i="2"/>
  <c r="K91" i="2"/>
  <c r="L91" i="2"/>
  <c r="H91" i="2"/>
  <c r="J91" i="2"/>
  <c r="I91" i="2"/>
  <c r="G91" i="2"/>
  <c r="F91" i="2"/>
  <c r="E91" i="2"/>
  <c r="D92" i="2"/>
  <c r="AJ60" i="2"/>
  <c r="AH61" i="2"/>
  <c r="M92" i="2" l="1"/>
  <c r="N92" i="2"/>
  <c r="K92" i="2"/>
  <c r="L92" i="2"/>
  <c r="H92" i="2"/>
  <c r="J92" i="2"/>
  <c r="I92" i="2"/>
  <c r="G92" i="2"/>
  <c r="F92" i="2"/>
  <c r="E92" i="2"/>
  <c r="D93" i="2"/>
  <c r="AH62" i="2"/>
  <c r="AJ61" i="2"/>
  <c r="M93" i="2" l="1"/>
  <c r="N93" i="2"/>
  <c r="K93" i="2"/>
  <c r="L93" i="2"/>
  <c r="H93" i="2"/>
  <c r="J93" i="2"/>
  <c r="I93" i="2"/>
  <c r="G93" i="2"/>
  <c r="F93" i="2"/>
  <c r="E93" i="2"/>
  <c r="D94" i="2"/>
  <c r="AJ62" i="2"/>
  <c r="AH63" i="2"/>
  <c r="M94" i="2" l="1"/>
  <c r="N94" i="2"/>
  <c r="K94" i="2"/>
  <c r="L94" i="2"/>
  <c r="H94" i="2"/>
  <c r="J94" i="2"/>
  <c r="I94" i="2"/>
  <c r="G94" i="2"/>
  <c r="F94" i="2"/>
  <c r="E94" i="2"/>
  <c r="D95" i="2"/>
  <c r="AH64" i="2"/>
  <c r="AJ63" i="2"/>
  <c r="M95" i="2" l="1"/>
  <c r="N95" i="2"/>
  <c r="K95" i="2"/>
  <c r="L95" i="2"/>
  <c r="H95" i="2"/>
  <c r="J95" i="2"/>
  <c r="I95" i="2"/>
  <c r="G95" i="2"/>
  <c r="F95" i="2"/>
  <c r="E95" i="2"/>
  <c r="D96" i="2"/>
  <c r="AJ64" i="2"/>
  <c r="AH65" i="2"/>
  <c r="M96" i="2" l="1"/>
  <c r="N96" i="2"/>
  <c r="K96" i="2"/>
  <c r="L96" i="2"/>
  <c r="H96" i="2"/>
  <c r="J96" i="2"/>
  <c r="I96" i="2"/>
  <c r="G96" i="2"/>
  <c r="F96" i="2"/>
  <c r="D97" i="2"/>
  <c r="E96" i="2"/>
  <c r="AH66" i="2"/>
  <c r="AJ65" i="2"/>
  <c r="M97" i="2" l="1"/>
  <c r="N97" i="2"/>
  <c r="K97" i="2"/>
  <c r="L97" i="2"/>
  <c r="H97" i="2"/>
  <c r="J97" i="2"/>
  <c r="I97" i="2"/>
  <c r="G97" i="2"/>
  <c r="F97" i="2"/>
  <c r="D98" i="2"/>
  <c r="E97" i="2"/>
  <c r="AJ66" i="2"/>
  <c r="AH67" i="2"/>
  <c r="M98" i="2" l="1"/>
  <c r="N98" i="2"/>
  <c r="K98" i="2"/>
  <c r="L98" i="2"/>
  <c r="H98" i="2"/>
  <c r="J98" i="2"/>
  <c r="I98" i="2"/>
  <c r="G98" i="2"/>
  <c r="F98" i="2"/>
  <c r="D99" i="2"/>
  <c r="E98" i="2"/>
  <c r="AH68" i="2"/>
  <c r="AJ67" i="2"/>
  <c r="M99" i="2" l="1"/>
  <c r="N99" i="2"/>
  <c r="K99" i="2"/>
  <c r="L99" i="2"/>
  <c r="H99" i="2"/>
  <c r="J99" i="2"/>
  <c r="I99" i="2"/>
  <c r="G99" i="2"/>
  <c r="F99" i="2"/>
  <c r="D100" i="2"/>
  <c r="E99" i="2"/>
  <c r="AJ68" i="2"/>
  <c r="AH69" i="2"/>
  <c r="M100" i="2" l="1"/>
  <c r="N100" i="2"/>
  <c r="K100" i="2"/>
  <c r="L100" i="2"/>
  <c r="I100" i="2"/>
  <c r="J100" i="2"/>
  <c r="G100" i="2"/>
  <c r="H100" i="2"/>
  <c r="F100" i="2"/>
  <c r="D101" i="2"/>
  <c r="E100" i="2"/>
  <c r="AH70" i="2"/>
  <c r="AJ69" i="2"/>
  <c r="M101" i="2" l="1"/>
  <c r="N101" i="2"/>
  <c r="K101" i="2"/>
  <c r="L101" i="2"/>
  <c r="I101" i="2"/>
  <c r="J101" i="2"/>
  <c r="G101" i="2"/>
  <c r="H101" i="2"/>
  <c r="F101" i="2"/>
  <c r="D102" i="2"/>
  <c r="E101" i="2"/>
  <c r="AJ70" i="2"/>
  <c r="AH71" i="2"/>
  <c r="M102" i="2" l="1"/>
  <c r="N102" i="2"/>
  <c r="K102" i="2"/>
  <c r="L102" i="2"/>
  <c r="I102" i="2"/>
  <c r="J102" i="2"/>
  <c r="G102" i="2"/>
  <c r="H102" i="2"/>
  <c r="F102" i="2"/>
  <c r="D103" i="2"/>
  <c r="E102" i="2"/>
  <c r="AH72" i="2"/>
  <c r="AJ71" i="2"/>
  <c r="M103" i="2" l="1"/>
  <c r="N103" i="2"/>
  <c r="K103" i="2"/>
  <c r="L103" i="2"/>
  <c r="I103" i="2"/>
  <c r="J103" i="2"/>
  <c r="G103" i="2"/>
  <c r="H103" i="2"/>
  <c r="F103" i="2"/>
  <c r="D104" i="2"/>
  <c r="E103" i="2"/>
  <c r="AJ72" i="2"/>
  <c r="AH73" i="2"/>
  <c r="M104" i="2" l="1"/>
  <c r="N104" i="2"/>
  <c r="K104" i="2"/>
  <c r="L104" i="2"/>
  <c r="I104" i="2"/>
  <c r="J104" i="2"/>
  <c r="G104" i="2"/>
  <c r="H104" i="2"/>
  <c r="F104" i="2"/>
  <c r="D105" i="2"/>
  <c r="E104" i="2"/>
  <c r="AH74" i="2"/>
  <c r="AJ73" i="2"/>
  <c r="M105" i="2" l="1"/>
  <c r="N105" i="2"/>
  <c r="K105" i="2"/>
  <c r="L105" i="2"/>
  <c r="I105" i="2"/>
  <c r="J105" i="2"/>
  <c r="G105" i="2"/>
  <c r="H105" i="2"/>
  <c r="F105" i="2"/>
  <c r="D106" i="2"/>
  <c r="E105" i="2"/>
  <c r="AJ74" i="2"/>
  <c r="AH75" i="2"/>
  <c r="M106" i="2" l="1"/>
  <c r="N106" i="2"/>
  <c r="K106" i="2"/>
  <c r="L106" i="2"/>
  <c r="I106" i="2"/>
  <c r="J106" i="2"/>
  <c r="G106" i="2"/>
  <c r="H106" i="2"/>
  <c r="F106" i="2"/>
  <c r="D107" i="2"/>
  <c r="E106" i="2"/>
  <c r="AH76" i="2"/>
  <c r="AJ75" i="2"/>
  <c r="M107" i="2" l="1"/>
  <c r="N107" i="2"/>
  <c r="K107" i="2"/>
  <c r="L107" i="2"/>
  <c r="I107" i="2"/>
  <c r="J107" i="2"/>
  <c r="G107" i="2"/>
  <c r="H107" i="2"/>
  <c r="F107" i="2"/>
  <c r="D108" i="2"/>
  <c r="E107" i="2"/>
  <c r="AJ76" i="2"/>
  <c r="AH77" i="2"/>
  <c r="M108" i="2" l="1"/>
  <c r="N108" i="2"/>
  <c r="K108" i="2"/>
  <c r="L108" i="2"/>
  <c r="I108" i="2"/>
  <c r="J108" i="2"/>
  <c r="G108" i="2"/>
  <c r="H108" i="2"/>
  <c r="F108" i="2"/>
  <c r="D109" i="2"/>
  <c r="E108" i="2"/>
  <c r="AH78" i="2"/>
  <c r="AJ77" i="2"/>
  <c r="M109" i="2" l="1"/>
  <c r="N109" i="2"/>
  <c r="K109" i="2"/>
  <c r="L109" i="2"/>
  <c r="I109" i="2"/>
  <c r="J109" i="2"/>
  <c r="G109" i="2"/>
  <c r="H109" i="2"/>
  <c r="F109" i="2"/>
  <c r="D110" i="2"/>
  <c r="E109" i="2"/>
  <c r="AJ78" i="2"/>
  <c r="AH79" i="2"/>
  <c r="M110" i="2" l="1"/>
  <c r="N110" i="2"/>
  <c r="K110" i="2"/>
  <c r="L110" i="2"/>
  <c r="I110" i="2"/>
  <c r="J110" i="2"/>
  <c r="G110" i="2"/>
  <c r="H110" i="2"/>
  <c r="F110" i="2"/>
  <c r="D111" i="2"/>
  <c r="E110" i="2"/>
  <c r="AH80" i="2"/>
  <c r="AJ79" i="2"/>
  <c r="M111" i="2" l="1"/>
  <c r="N111" i="2"/>
  <c r="K111" i="2"/>
  <c r="L111" i="2"/>
  <c r="I111" i="2"/>
  <c r="J111" i="2"/>
  <c r="G111" i="2"/>
  <c r="H111" i="2"/>
  <c r="F111" i="2"/>
  <c r="D112" i="2"/>
  <c r="E111" i="2"/>
  <c r="AJ80" i="2"/>
  <c r="AH81" i="2"/>
  <c r="M112" i="2" l="1"/>
  <c r="N112" i="2"/>
  <c r="K112" i="2"/>
  <c r="L112" i="2"/>
  <c r="I112" i="2"/>
  <c r="J112" i="2"/>
  <c r="G112" i="2"/>
  <c r="H112" i="2"/>
  <c r="F112" i="2"/>
  <c r="D113" i="2"/>
  <c r="E112" i="2"/>
  <c r="AH82" i="2"/>
  <c r="AJ81" i="2"/>
  <c r="M113" i="2" l="1"/>
  <c r="N113" i="2"/>
  <c r="K113" i="2"/>
  <c r="L113" i="2"/>
  <c r="I113" i="2"/>
  <c r="J113" i="2"/>
  <c r="G113" i="2"/>
  <c r="H113" i="2"/>
  <c r="F113" i="2"/>
  <c r="D114" i="2"/>
  <c r="E113" i="2"/>
  <c r="AJ82" i="2"/>
  <c r="AH83" i="2"/>
  <c r="M114" i="2" l="1"/>
  <c r="N114" i="2"/>
  <c r="K114" i="2"/>
  <c r="L114" i="2"/>
  <c r="I114" i="2"/>
  <c r="J114" i="2"/>
  <c r="G114" i="2"/>
  <c r="H114" i="2"/>
  <c r="F114" i="2"/>
  <c r="D115" i="2"/>
  <c r="E114" i="2"/>
  <c r="AH84" i="2"/>
  <c r="AJ83" i="2"/>
  <c r="M115" i="2" l="1"/>
  <c r="N115" i="2"/>
  <c r="K115" i="2"/>
  <c r="L115" i="2"/>
  <c r="I115" i="2"/>
  <c r="J115" i="2"/>
  <c r="G115" i="2"/>
  <c r="H115" i="2"/>
  <c r="F115" i="2"/>
  <c r="D116" i="2"/>
  <c r="E115" i="2"/>
  <c r="AJ84" i="2"/>
  <c r="AH85" i="2"/>
  <c r="M116" i="2" l="1"/>
  <c r="N116" i="2"/>
  <c r="K116" i="2"/>
  <c r="L116" i="2"/>
  <c r="I116" i="2"/>
  <c r="J116" i="2"/>
  <c r="G116" i="2"/>
  <c r="H116" i="2"/>
  <c r="F116" i="2"/>
  <c r="D117" i="2"/>
  <c r="E116" i="2"/>
  <c r="AH86" i="2"/>
  <c r="AJ85" i="2"/>
  <c r="M117" i="2" l="1"/>
  <c r="N117" i="2"/>
  <c r="K117" i="2"/>
  <c r="L117" i="2"/>
  <c r="I117" i="2"/>
  <c r="J117" i="2"/>
  <c r="G117" i="2"/>
  <c r="H117" i="2"/>
  <c r="F117" i="2"/>
  <c r="D118" i="2"/>
  <c r="E117" i="2"/>
  <c r="AJ86" i="2"/>
  <c r="AH87" i="2"/>
  <c r="M118" i="2" l="1"/>
  <c r="N118" i="2"/>
  <c r="K118" i="2"/>
  <c r="L118" i="2"/>
  <c r="I118" i="2"/>
  <c r="J118" i="2"/>
  <c r="G118" i="2"/>
  <c r="H118" i="2"/>
  <c r="F118" i="2"/>
  <c r="D119" i="2"/>
  <c r="E118" i="2"/>
  <c r="AH88" i="2"/>
  <c r="AJ87" i="2"/>
  <c r="M119" i="2" l="1"/>
  <c r="N119" i="2"/>
  <c r="K119" i="2"/>
  <c r="L119" i="2"/>
  <c r="I119" i="2"/>
  <c r="J119" i="2"/>
  <c r="G119" i="2"/>
  <c r="H119" i="2"/>
  <c r="F119" i="2"/>
  <c r="D120" i="2"/>
  <c r="E119" i="2"/>
  <c r="AJ88" i="2"/>
  <c r="AH89" i="2"/>
  <c r="M120" i="2" l="1"/>
  <c r="N120" i="2"/>
  <c r="K120" i="2"/>
  <c r="L120" i="2"/>
  <c r="I120" i="2"/>
  <c r="J120" i="2"/>
  <c r="G120" i="2"/>
  <c r="H120" i="2"/>
  <c r="F120" i="2"/>
  <c r="D121" i="2"/>
  <c r="E120" i="2"/>
  <c r="AH90" i="2"/>
  <c r="AJ89" i="2"/>
  <c r="M121" i="2" l="1"/>
  <c r="N121" i="2"/>
  <c r="K121" i="2"/>
  <c r="L121" i="2"/>
  <c r="I121" i="2"/>
  <c r="J121" i="2"/>
  <c r="G121" i="2"/>
  <c r="H121" i="2"/>
  <c r="F121" i="2"/>
  <c r="D122" i="2"/>
  <c r="E121" i="2"/>
  <c r="AJ90" i="2"/>
  <c r="AH91" i="2"/>
  <c r="M122" i="2" l="1"/>
  <c r="N122" i="2"/>
  <c r="K122" i="2"/>
  <c r="L122" i="2"/>
  <c r="I122" i="2"/>
  <c r="J122" i="2"/>
  <c r="G122" i="2"/>
  <c r="H122" i="2"/>
  <c r="F122" i="2"/>
  <c r="D123" i="2"/>
  <c r="E122" i="2"/>
  <c r="AH92" i="2"/>
  <c r="AJ91" i="2"/>
  <c r="M123" i="2" l="1"/>
  <c r="N123" i="2"/>
  <c r="K123" i="2"/>
  <c r="L123" i="2"/>
  <c r="I123" i="2"/>
  <c r="J123" i="2"/>
  <c r="G123" i="2"/>
  <c r="H123" i="2"/>
  <c r="F123" i="2"/>
  <c r="D124" i="2"/>
  <c r="E123" i="2"/>
  <c r="AJ92" i="2"/>
  <c r="AH93" i="2"/>
  <c r="M124" i="2" l="1"/>
  <c r="N124" i="2"/>
  <c r="K124" i="2"/>
  <c r="L124" i="2"/>
  <c r="I124" i="2"/>
  <c r="J124" i="2"/>
  <c r="G124" i="2"/>
  <c r="H124" i="2"/>
  <c r="F124" i="2"/>
  <c r="D125" i="2"/>
  <c r="E124" i="2"/>
  <c r="AH94" i="2"/>
  <c r="AJ93" i="2"/>
  <c r="M125" i="2" l="1"/>
  <c r="N125" i="2"/>
  <c r="K125" i="2"/>
  <c r="L125" i="2"/>
  <c r="I125" i="2"/>
  <c r="J125" i="2"/>
  <c r="G125" i="2"/>
  <c r="H125" i="2"/>
  <c r="F125" i="2"/>
  <c r="D126" i="2"/>
  <c r="E125" i="2"/>
  <c r="AJ94" i="2"/>
  <c r="AH95" i="2"/>
  <c r="M126" i="2" l="1"/>
  <c r="N126" i="2"/>
  <c r="K126" i="2"/>
  <c r="L126" i="2"/>
  <c r="I126" i="2"/>
  <c r="J126" i="2"/>
  <c r="G126" i="2"/>
  <c r="H126" i="2"/>
  <c r="F126" i="2"/>
  <c r="D127" i="2"/>
  <c r="E126" i="2"/>
  <c r="AH96" i="2"/>
  <c r="AJ95" i="2"/>
  <c r="M127" i="2" l="1"/>
  <c r="N127" i="2"/>
  <c r="K127" i="2"/>
  <c r="L127" i="2"/>
  <c r="I127" i="2"/>
  <c r="J127" i="2"/>
  <c r="G127" i="2"/>
  <c r="H127" i="2"/>
  <c r="F127" i="2"/>
  <c r="D128" i="2"/>
  <c r="E127" i="2"/>
  <c r="AJ96" i="2"/>
  <c r="AH97" i="2"/>
  <c r="M128" i="2" l="1"/>
  <c r="N128" i="2"/>
  <c r="K128" i="2"/>
  <c r="L128" i="2"/>
  <c r="I128" i="2"/>
  <c r="J128" i="2"/>
  <c r="G128" i="2"/>
  <c r="H128" i="2"/>
  <c r="F128" i="2"/>
  <c r="D129" i="2"/>
  <c r="E128" i="2"/>
  <c r="AH98" i="2"/>
  <c r="AJ97" i="2"/>
  <c r="M129" i="2" l="1"/>
  <c r="N129" i="2"/>
  <c r="K129" i="2"/>
  <c r="L129" i="2"/>
  <c r="I129" i="2"/>
  <c r="J129" i="2"/>
  <c r="G129" i="2"/>
  <c r="H129" i="2"/>
  <c r="F129" i="2"/>
  <c r="D130" i="2"/>
  <c r="N130" i="2" s="1"/>
  <c r="N194" i="2" s="1"/>
  <c r="E129" i="2"/>
  <c r="AJ98" i="2"/>
  <c r="AH99" i="2"/>
  <c r="L130" i="2" l="1"/>
  <c r="L194" i="2" s="1"/>
  <c r="M130" i="2"/>
  <c r="M194" i="2" s="1"/>
  <c r="J130" i="2"/>
  <c r="J194" i="2" s="1"/>
  <c r="K130" i="2"/>
  <c r="K194" i="2" s="1"/>
  <c r="H130" i="2"/>
  <c r="H194" i="2" s="1"/>
  <c r="I130" i="2"/>
  <c r="I194" i="2" s="1"/>
  <c r="V18" i="2" s="1"/>
  <c r="E130" i="2"/>
  <c r="G130" i="2"/>
  <c r="G194" i="2" s="1"/>
  <c r="G20" i="2" s="1"/>
  <c r="T18" i="2" s="1"/>
  <c r="F130" i="2"/>
  <c r="D131" i="2"/>
  <c r="AH100" i="2"/>
  <c r="AJ99" i="2"/>
  <c r="F131" i="2" l="1"/>
  <c r="E131" i="2"/>
  <c r="R164" i="2"/>
  <c r="D132" i="2"/>
  <c r="F132" i="2" s="1"/>
  <c r="AH101" i="2"/>
  <c r="AJ100" i="2"/>
  <c r="D133" i="2" l="1"/>
  <c r="F133" i="2" s="1"/>
  <c r="E132" i="2"/>
  <c r="AJ101" i="2"/>
  <c r="AH102" i="2"/>
  <c r="D134" i="2" l="1"/>
  <c r="E133" i="2"/>
  <c r="E194" i="2" s="1"/>
  <c r="E20" i="2" s="1"/>
  <c r="AH103" i="2"/>
  <c r="AJ102" i="2"/>
  <c r="D135" i="2" l="1"/>
  <c r="F134" i="2"/>
  <c r="R18" i="2"/>
  <c r="AE116" i="2"/>
  <c r="AH104" i="2"/>
  <c r="AJ103" i="2"/>
  <c r="D136" i="2" l="1"/>
  <c r="F135" i="2"/>
  <c r="AH105" i="2"/>
  <c r="AJ104" i="2"/>
  <c r="D137" i="2" l="1"/>
  <c r="F136" i="2"/>
  <c r="AJ105" i="2"/>
  <c r="AH106" i="2"/>
  <c r="D138" i="2" l="1"/>
  <c r="F137" i="2"/>
  <c r="AH107" i="2"/>
  <c r="AJ106" i="2"/>
  <c r="D139" i="2" l="1"/>
  <c r="F138" i="2"/>
  <c r="AH108" i="2"/>
  <c r="AJ107" i="2"/>
  <c r="D140" i="2" l="1"/>
  <c r="F139" i="2"/>
  <c r="AH109" i="2"/>
  <c r="AJ108" i="2"/>
  <c r="D141" i="2" l="1"/>
  <c r="F140" i="2"/>
  <c r="AJ109" i="2"/>
  <c r="AH110" i="2"/>
  <c r="D142" i="2" l="1"/>
  <c r="F141" i="2"/>
  <c r="AH111" i="2"/>
  <c r="AJ110" i="2"/>
  <c r="D143" i="2" l="1"/>
  <c r="F142" i="2"/>
  <c r="AH112" i="2"/>
  <c r="AJ111" i="2"/>
  <c r="D144" i="2" l="1"/>
  <c r="F143" i="2"/>
  <c r="AH113" i="2"/>
  <c r="AJ112" i="2"/>
  <c r="D145" i="2" l="1"/>
  <c r="F144" i="2"/>
  <c r="AJ113" i="2"/>
  <c r="AH114" i="2"/>
  <c r="D146" i="2" l="1"/>
  <c r="F145" i="2"/>
  <c r="AJ114" i="2"/>
  <c r="AH115" i="2"/>
  <c r="AH116" i="2" s="1"/>
  <c r="AH117" i="2" s="1"/>
  <c r="D147" i="2" l="1"/>
  <c r="F146" i="2"/>
  <c r="AH118" i="2"/>
  <c r="AJ117" i="2"/>
  <c r="D148" i="2" l="1"/>
  <c r="F147" i="2"/>
  <c r="AH119" i="2"/>
  <c r="AJ118" i="2"/>
  <c r="D149" i="2" l="1"/>
  <c r="F148" i="2"/>
  <c r="AI116" i="2"/>
  <c r="AJ116" i="2" s="1"/>
  <c r="AH120" i="2"/>
  <c r="AJ119" i="2"/>
  <c r="D150" i="2" l="1"/>
  <c r="F149" i="2"/>
  <c r="AH121" i="2"/>
  <c r="AJ120" i="2"/>
  <c r="D151" i="2" l="1"/>
  <c r="F150" i="2"/>
  <c r="AH122" i="2"/>
  <c r="AJ121" i="2"/>
  <c r="BE56" i="2" l="1"/>
  <c r="D152" i="2"/>
  <c r="F151" i="2"/>
  <c r="AH123" i="2"/>
  <c r="AJ122" i="2"/>
  <c r="BD56" i="2" l="1"/>
  <c r="BE57" i="2"/>
  <c r="D153" i="2"/>
  <c r="F152" i="2"/>
  <c r="AH124" i="2"/>
  <c r="AJ123" i="2"/>
  <c r="BD57" i="2" l="1"/>
  <c r="BE58" i="2"/>
  <c r="D154" i="2"/>
  <c r="F153" i="2"/>
  <c r="AH125" i="2"/>
  <c r="AJ124" i="2"/>
  <c r="BD58" i="2" l="1"/>
  <c r="BE59" i="2"/>
  <c r="BD59" i="2" s="1"/>
  <c r="D155" i="2"/>
  <c r="F154" i="2"/>
  <c r="AH126" i="2"/>
  <c r="AJ125" i="2"/>
  <c r="D156" i="2" l="1"/>
  <c r="F155" i="2"/>
  <c r="AH127" i="2"/>
  <c r="AJ126" i="2"/>
  <c r="D157" i="2" l="1"/>
  <c r="F156" i="2"/>
  <c r="AH128" i="2"/>
  <c r="AJ127" i="2"/>
  <c r="D158" i="2" l="1"/>
  <c r="F157" i="2"/>
  <c r="AH129" i="2"/>
  <c r="AJ128" i="2"/>
  <c r="D159" i="2" l="1"/>
  <c r="D160" i="2" s="1"/>
  <c r="D161" i="2" s="1"/>
  <c r="D162" i="2" s="1"/>
  <c r="D163" i="2" s="1"/>
  <c r="D164" i="2" s="1"/>
  <c r="D165" i="2" s="1"/>
  <c r="D166" i="2" s="1"/>
  <c r="D167" i="2" s="1"/>
  <c r="D168" i="2" s="1"/>
  <c r="D169" i="2" s="1"/>
  <c r="D170" i="2" s="1"/>
  <c r="D171" i="2" s="1"/>
  <c r="D172" i="2" s="1"/>
  <c r="D173" i="2" s="1"/>
  <c r="D174" i="2" s="1"/>
  <c r="D175" i="2" s="1"/>
  <c r="D176" i="2" s="1"/>
  <c r="D177" i="2" s="1"/>
  <c r="D178" i="2" s="1"/>
  <c r="D179" i="2" s="1"/>
  <c r="D180" i="2" s="1"/>
  <c r="D181" i="2" s="1"/>
  <c r="D182" i="2" s="1"/>
  <c r="D183" i="2" s="1"/>
  <c r="D184" i="2" s="1"/>
  <c r="D185" i="2" s="1"/>
  <c r="D186" i="2" s="1"/>
  <c r="D187" i="2" s="1"/>
  <c r="D188" i="2" s="1"/>
  <c r="D189" i="2" s="1"/>
  <c r="D190" i="2" s="1"/>
  <c r="D191" i="2" s="1"/>
  <c r="D192" i="2" s="1"/>
  <c r="D193" i="2" s="1"/>
  <c r="F158" i="2"/>
  <c r="F194" i="2" s="1"/>
  <c r="F20" i="2" s="1"/>
  <c r="O20" i="2" s="1"/>
  <c r="AH130" i="2"/>
  <c r="AJ129" i="2"/>
  <c r="S18" i="2" l="1"/>
  <c r="AE115" i="2" s="1"/>
  <c r="AI115" i="2" s="1"/>
  <c r="AJ115" i="2" s="1"/>
  <c r="AE12" i="2"/>
  <c r="AH131" i="2"/>
  <c r="AJ130" i="2"/>
  <c r="AE18" i="2" l="1"/>
  <c r="AE163" i="2" s="1"/>
  <c r="AE164" i="2" s="1"/>
  <c r="AE15" i="2" s="1"/>
  <c r="AH132" i="2"/>
  <c r="AJ131" i="2"/>
  <c r="AH133" i="2" l="1"/>
  <c r="AJ132" i="2"/>
  <c r="AH134" i="2" l="1"/>
  <c r="AJ133" i="2"/>
  <c r="AH135" i="2" l="1"/>
  <c r="AJ134" i="2"/>
  <c r="AH136" i="2" l="1"/>
  <c r="AJ135" i="2"/>
  <c r="AH137" i="2" l="1"/>
  <c r="AJ136" i="2"/>
  <c r="AH138" i="2" l="1"/>
  <c r="AJ137" i="2"/>
  <c r="AH139" i="2" l="1"/>
  <c r="AJ138" i="2"/>
  <c r="AH140" i="2" l="1"/>
  <c r="AJ139" i="2"/>
  <c r="AH141" i="2" l="1"/>
  <c r="AJ140" i="2"/>
  <c r="AH142" i="2" l="1"/>
  <c r="AJ141" i="2"/>
  <c r="AH143" i="2" l="1"/>
  <c r="AJ142" i="2"/>
  <c r="AH144" i="2" l="1"/>
  <c r="AJ143" i="2"/>
  <c r="AH145" i="2" l="1"/>
  <c r="AJ144" i="2"/>
  <c r="AH146" i="2" l="1"/>
  <c r="AJ145" i="2"/>
  <c r="AH147" i="2" l="1"/>
  <c r="AJ146" i="2"/>
  <c r="AH148" i="2" l="1"/>
  <c r="AJ147" i="2"/>
  <c r="AH149" i="2" l="1"/>
  <c r="AJ148" i="2"/>
  <c r="AH150" i="2" l="1"/>
  <c r="AJ149" i="2"/>
  <c r="AH151" i="2" l="1"/>
  <c r="AJ150" i="2"/>
  <c r="AH152" i="2" l="1"/>
  <c r="AJ151" i="2"/>
  <c r="AH153" i="2" l="1"/>
  <c r="AJ152" i="2"/>
  <c r="AH154" i="2" l="1"/>
  <c r="AJ153" i="2"/>
  <c r="AH155" i="2" l="1"/>
  <c r="AJ154" i="2"/>
  <c r="AH156" i="2" l="1"/>
  <c r="AJ155" i="2"/>
  <c r="AH157" i="2" l="1"/>
  <c r="AJ156" i="2"/>
  <c r="AH158" i="2" l="1"/>
  <c r="AJ157" i="2"/>
  <c r="AH159" i="2" l="1"/>
  <c r="AJ158" i="2"/>
  <c r="AH160" i="2" l="1"/>
  <c r="AJ159" i="2"/>
  <c r="AH161" i="2" l="1"/>
  <c r="AJ160" i="2"/>
  <c r="AH162" i="2" l="1"/>
  <c r="AJ161" i="2"/>
  <c r="AJ162" i="2" l="1"/>
  <c r="AJ163" i="2" l="1"/>
  <c r="AI18" i="2"/>
  <c r="BE165" i="2"/>
  <c r="BE119" i="2"/>
  <c r="BD25" i="5"/>
  <c r="BC25" i="5" s="1"/>
  <c r="BD53" i="5"/>
  <c r="BC53" i="5" s="1"/>
  <c r="BD126" i="5"/>
  <c r="BD127" i="5" s="1"/>
  <c r="BC127" i="5" l="1"/>
  <c r="BD128" i="5"/>
  <c r="AI12" i="2"/>
  <c r="AM12" i="2" s="1"/>
  <c r="AM18" i="2" s="1"/>
  <c r="AM163" i="2" s="1"/>
  <c r="AM164" i="2" s="1"/>
  <c r="AM15" i="2" s="1"/>
  <c r="AI163" i="2"/>
  <c r="AI164" i="2" s="1"/>
  <c r="BD54" i="5"/>
  <c r="BD135" i="5"/>
  <c r="BC135" i="5" s="1"/>
  <c r="BD119" i="2"/>
  <c r="BE120" i="2"/>
  <c r="BD120" i="2" s="1"/>
  <c r="BD165" i="2"/>
  <c r="BE166" i="2"/>
  <c r="BE115" i="2"/>
  <c r="BC126" i="5"/>
  <c r="BD26" i="5"/>
  <c r="BC26" i="5" l="1"/>
  <c r="BD27" i="5"/>
  <c r="BC128" i="5"/>
  <c r="BD129" i="5"/>
  <c r="E26" i="2"/>
  <c r="H10" i="2"/>
  <c r="G10" i="2"/>
  <c r="K10" i="2"/>
  <c r="L10" i="2"/>
  <c r="N10" i="2"/>
  <c r="E10" i="2"/>
  <c r="J10" i="2"/>
  <c r="M10" i="2"/>
  <c r="F10" i="2"/>
  <c r="I10" i="2"/>
  <c r="BD57" i="5"/>
  <c r="BC54" i="5"/>
  <c r="BD55" i="5"/>
  <c r="BD145" i="5"/>
  <c r="BD136" i="5"/>
  <c r="BC136" i="5" s="1"/>
  <c r="BD166" i="2"/>
  <c r="BE167" i="2"/>
  <c r="BD167" i="2" s="1"/>
  <c r="BD115" i="2"/>
  <c r="BE116" i="2"/>
  <c r="BC55" i="5" l="1"/>
  <c r="BD56" i="5"/>
  <c r="BC56" i="5" s="1"/>
  <c r="BC129" i="5"/>
  <c r="BD130" i="5"/>
  <c r="BC57" i="5"/>
  <c r="BD58" i="5"/>
  <c r="BC27" i="5"/>
  <c r="BD28" i="5"/>
  <c r="BD166" i="5"/>
  <c r="BD137" i="5"/>
  <c r="BC145" i="5"/>
  <c r="BD146" i="5"/>
  <c r="BE117" i="2"/>
  <c r="BD116" i="2"/>
  <c r="BC58" i="5" l="1"/>
  <c r="BD59" i="5"/>
  <c r="BC28" i="5"/>
  <c r="BD29" i="5"/>
  <c r="BD131" i="5"/>
  <c r="BC130" i="5"/>
  <c r="BC146" i="5"/>
  <c r="BD147" i="5"/>
  <c r="BC137" i="5"/>
  <c r="BD138" i="5"/>
  <c r="BD117" i="2"/>
  <c r="BE118" i="2"/>
  <c r="BD118" i="2" s="1"/>
  <c r="BC166" i="5"/>
  <c r="BD167" i="5"/>
  <c r="BE168" i="2"/>
  <c r="BD30" i="5" l="1"/>
  <c r="BC29" i="5"/>
  <c r="BD60" i="5"/>
  <c r="BC59" i="5"/>
  <c r="BC131" i="5"/>
  <c r="BD132" i="5"/>
  <c r="BC138" i="5"/>
  <c r="BD139" i="5"/>
  <c r="BC147" i="5"/>
  <c r="BD148" i="5"/>
  <c r="BC167" i="5"/>
  <c r="BD168" i="5"/>
  <c r="BD168" i="2"/>
  <c r="BE169" i="2"/>
  <c r="BC168" i="5" l="1"/>
  <c r="BD169" i="5"/>
  <c r="BC30" i="5"/>
  <c r="BD31" i="5"/>
  <c r="BC60" i="5"/>
  <c r="BD61" i="5"/>
  <c r="BC132" i="5"/>
  <c r="BD133" i="5"/>
  <c r="BC139" i="5"/>
  <c r="BD140" i="5"/>
  <c r="BD149" i="5"/>
  <c r="BC148" i="5"/>
  <c r="BE176" i="2"/>
  <c r="BE170" i="2"/>
  <c r="BD169" i="2"/>
  <c r="BC133" i="5" l="1"/>
  <c r="BD134" i="5"/>
  <c r="BC134" i="5" s="1"/>
  <c r="BC31" i="5"/>
  <c r="BD32" i="5"/>
  <c r="BC32" i="5" s="1"/>
  <c r="BD170" i="5"/>
  <c r="BC169" i="5"/>
  <c r="BD62" i="5"/>
  <c r="BC61" i="5"/>
  <c r="BD141" i="5"/>
  <c r="BC140" i="5"/>
  <c r="BD150" i="5"/>
  <c r="BC149" i="5"/>
  <c r="BD174" i="5"/>
  <c r="BD176" i="2"/>
  <c r="BE177" i="2"/>
  <c r="BE171" i="2"/>
  <c r="BD170" i="2"/>
  <c r="BE60" i="2"/>
  <c r="BE61" i="2" s="1"/>
  <c r="BE158" i="2"/>
  <c r="BD158" i="2" s="1"/>
  <c r="BD171" i="5" l="1"/>
  <c r="BC170" i="5"/>
  <c r="BC141" i="5"/>
  <c r="BD142" i="5"/>
  <c r="BC62" i="5"/>
  <c r="BD63" i="5"/>
  <c r="BD177" i="2"/>
  <c r="BE178" i="2"/>
  <c r="BC150" i="5"/>
  <c r="BD151" i="5"/>
  <c r="BC174" i="5"/>
  <c r="BD175" i="5"/>
  <c r="BD61" i="2"/>
  <c r="BE62" i="2"/>
  <c r="BD171" i="2"/>
  <c r="BE172" i="2"/>
  <c r="BE159" i="2"/>
  <c r="BE160" i="2" s="1"/>
  <c r="BD60" i="2"/>
  <c r="BC142" i="5" l="1"/>
  <c r="BD143" i="5"/>
  <c r="BD172" i="5"/>
  <c r="BC171" i="5"/>
  <c r="BD64" i="5"/>
  <c r="BC63" i="5"/>
  <c r="BD62" i="2"/>
  <c r="BE63" i="2"/>
  <c r="BE179" i="2"/>
  <c r="BD178" i="2"/>
  <c r="BC175" i="5"/>
  <c r="BD176" i="5"/>
  <c r="BC176" i="5" s="1"/>
  <c r="BC151" i="5"/>
  <c r="BD152" i="5"/>
  <c r="BD172" i="2"/>
  <c r="BE173" i="2"/>
  <c r="BD159" i="2"/>
  <c r="BD160" i="2"/>
  <c r="BE161" i="2"/>
  <c r="BE66" i="2"/>
  <c r="BE43" i="2"/>
  <c r="BC143" i="5" l="1"/>
  <c r="BD144" i="5"/>
  <c r="BC144" i="5" s="1"/>
  <c r="BC172" i="5"/>
  <c r="BD173" i="5"/>
  <c r="BC173" i="5" s="1"/>
  <c r="BD63" i="2"/>
  <c r="BE64" i="2"/>
  <c r="BC64" i="5"/>
  <c r="BD65" i="5"/>
  <c r="BE85" i="2"/>
  <c r="BD179" i="2"/>
  <c r="BE180" i="2"/>
  <c r="BD180" i="2" s="1"/>
  <c r="BD153" i="5"/>
  <c r="BC152" i="5"/>
  <c r="BD161" i="2"/>
  <c r="BE162" i="2"/>
  <c r="BD173" i="2"/>
  <c r="BE174" i="2"/>
  <c r="BE134" i="2"/>
  <c r="BE44" i="2"/>
  <c r="BD43" i="2"/>
  <c r="BD66" i="2"/>
  <c r="BE67" i="2"/>
  <c r="BD64" i="2" l="1"/>
  <c r="BE65" i="2"/>
  <c r="BD65" i="2" s="1"/>
  <c r="BC65" i="5"/>
  <c r="BD66" i="5"/>
  <c r="BD85" i="2"/>
  <c r="BE86" i="2"/>
  <c r="BD174" i="2"/>
  <c r="BE175" i="2"/>
  <c r="BD175" i="2" s="1"/>
  <c r="BC153" i="5"/>
  <c r="BD154" i="5"/>
  <c r="BD162" i="2"/>
  <c r="BE163" i="2"/>
  <c r="BE135" i="2"/>
  <c r="BD134" i="2"/>
  <c r="BE68" i="2"/>
  <c r="BD67" i="2"/>
  <c r="BE45" i="2"/>
  <c r="BD44" i="2"/>
  <c r="BD163" i="2" l="1"/>
  <c r="BE164" i="2"/>
  <c r="BD164" i="2" s="1"/>
  <c r="BD67" i="5"/>
  <c r="BC66" i="5"/>
  <c r="BE87" i="2"/>
  <c r="BD86" i="2"/>
  <c r="BD155" i="5"/>
  <c r="BC154" i="5"/>
  <c r="BD135" i="2"/>
  <c r="BE136" i="2"/>
  <c r="BE90" i="2"/>
  <c r="BE46" i="2"/>
  <c r="BD45" i="2"/>
  <c r="BE69" i="2"/>
  <c r="BD68" i="2"/>
  <c r="BD68" i="5" l="1"/>
  <c r="BC67" i="5"/>
  <c r="BD87" i="2"/>
  <c r="BE88" i="2"/>
  <c r="BD136" i="2"/>
  <c r="BE137" i="2"/>
  <c r="BC155" i="5"/>
  <c r="BD156" i="5"/>
  <c r="BD46" i="2"/>
  <c r="BE47" i="2"/>
  <c r="BD90" i="2"/>
  <c r="BE91" i="2"/>
  <c r="BD69" i="2"/>
  <c r="BE70" i="2"/>
  <c r="BD88" i="2" l="1"/>
  <c r="BE89" i="2"/>
  <c r="BD89" i="2" s="1"/>
  <c r="BC68" i="5"/>
  <c r="BD69" i="5"/>
  <c r="BD47" i="2"/>
  <c r="BE48" i="2"/>
  <c r="BC156" i="5"/>
  <c r="BD157" i="5"/>
  <c r="BD137" i="2"/>
  <c r="BE138" i="2"/>
  <c r="BD91" i="2"/>
  <c r="BE92" i="2"/>
  <c r="BD70" i="2"/>
  <c r="BE71" i="2"/>
  <c r="E28" i="5" l="1"/>
  <c r="BD70" i="5"/>
  <c r="BC70" i="5" s="1"/>
  <c r="BC69" i="5"/>
  <c r="BD138" i="2"/>
  <c r="BE139" i="2"/>
  <c r="BD139" i="2" s="1"/>
  <c r="BD48" i="2"/>
  <c r="BE49" i="2"/>
  <c r="BD158" i="5"/>
  <c r="BC157" i="5"/>
  <c r="BD92" i="2"/>
  <c r="BE93" i="2"/>
  <c r="BE72" i="2"/>
  <c r="BD71" i="2"/>
  <c r="E27" i="5" l="1"/>
  <c r="E29" i="5"/>
  <c r="F28" i="5"/>
  <c r="G28" i="5"/>
  <c r="H28" i="5" s="1"/>
  <c r="I28" i="5" s="1"/>
  <c r="J28" i="5" s="1"/>
  <c r="K28" i="5" s="1"/>
  <c r="BD49" i="2"/>
  <c r="BE50" i="2"/>
  <c r="BC158" i="5"/>
  <c r="BD159" i="5"/>
  <c r="BD93" i="2"/>
  <c r="BE94" i="2"/>
  <c r="BD72" i="2"/>
  <c r="BE73" i="2"/>
  <c r="BE35" i="2"/>
  <c r="BD35" i="2" s="1"/>
  <c r="BE100" i="2"/>
  <c r="BD100" i="2" s="1"/>
  <c r="BE121" i="2"/>
  <c r="BE122" i="2" s="1"/>
  <c r="BE140" i="2"/>
  <c r="BD140" i="2" s="1"/>
  <c r="F29" i="5" l="1"/>
  <c r="G29" i="5"/>
  <c r="H29" i="5" s="1"/>
  <c r="I29" i="5" s="1"/>
  <c r="J29" i="5" s="1"/>
  <c r="G27" i="5"/>
  <c r="H27" i="5" s="1"/>
  <c r="I27" i="5" s="1"/>
  <c r="J27" i="5" s="1"/>
  <c r="F27" i="5"/>
  <c r="BD50" i="2"/>
  <c r="BE51" i="2"/>
  <c r="BC159" i="5"/>
  <c r="BD160" i="5"/>
  <c r="BE95" i="2"/>
  <c r="BD94" i="2"/>
  <c r="BE141" i="2"/>
  <c r="BD121" i="2"/>
  <c r="BE36" i="2"/>
  <c r="BD73" i="2"/>
  <c r="BE74" i="2"/>
  <c r="BE101" i="2"/>
  <c r="BE102" i="2" s="1"/>
  <c r="BE123" i="2"/>
  <c r="BD122" i="2"/>
  <c r="K27" i="5" l="1"/>
  <c r="K29" i="5"/>
  <c r="BD51" i="2"/>
  <c r="BE52" i="2"/>
  <c r="BC160" i="5"/>
  <c r="BD161" i="5"/>
  <c r="BD141" i="2"/>
  <c r="BE142" i="2"/>
  <c r="BD95" i="2"/>
  <c r="BE96" i="2"/>
  <c r="BD74" i="2"/>
  <c r="BE75" i="2"/>
  <c r="BD36" i="2"/>
  <c r="BE37" i="2"/>
  <c r="BD101" i="2"/>
  <c r="BD102" i="2"/>
  <c r="BE103" i="2"/>
  <c r="BD123" i="2"/>
  <c r="BE124" i="2"/>
  <c r="BD52" i="2" l="1"/>
  <c r="BE53" i="2"/>
  <c r="BC161" i="5"/>
  <c r="BD162" i="5"/>
  <c r="BD37" i="2"/>
  <c r="BE38" i="2"/>
  <c r="BD142" i="2"/>
  <c r="BE143" i="2"/>
  <c r="BD143" i="2" s="1"/>
  <c r="BD96" i="2"/>
  <c r="BE97" i="2"/>
  <c r="BD103" i="2"/>
  <c r="BE104" i="2"/>
  <c r="BD75" i="2"/>
  <c r="BE76" i="2"/>
  <c r="BE125" i="2"/>
  <c r="BD124" i="2"/>
  <c r="BD53" i="2" l="1"/>
  <c r="BE54" i="2"/>
  <c r="BC162" i="5"/>
  <c r="BD163" i="5"/>
  <c r="BD38" i="2"/>
  <c r="BE39" i="2"/>
  <c r="BD97" i="2"/>
  <c r="BE98" i="2"/>
  <c r="BE77" i="2"/>
  <c r="BD76" i="2"/>
  <c r="BD104" i="2"/>
  <c r="BE105" i="2"/>
  <c r="BD125" i="2"/>
  <c r="BE126" i="2"/>
  <c r="BD98" i="2" l="1"/>
  <c r="BE99" i="2"/>
  <c r="BD99" i="2" s="1"/>
  <c r="BD54" i="2"/>
  <c r="BE55" i="2"/>
  <c r="BD55" i="2" s="1"/>
  <c r="BC163" i="5"/>
  <c r="BD164" i="5"/>
  <c r="BD165" i="5" s="1"/>
  <c r="BC165" i="5" s="1"/>
  <c r="BD39" i="2"/>
  <c r="BE40" i="2"/>
  <c r="BD126" i="2"/>
  <c r="BE127" i="2"/>
  <c r="BD105" i="2"/>
  <c r="BE106" i="2"/>
  <c r="BE78" i="2"/>
  <c r="BD77" i="2"/>
  <c r="BD40" i="2" l="1"/>
  <c r="BE41" i="2"/>
  <c r="BC164" i="5"/>
  <c r="E32" i="5"/>
  <c r="E30" i="5"/>
  <c r="E31" i="5"/>
  <c r="E33" i="5"/>
  <c r="BD127" i="2"/>
  <c r="BE128" i="2"/>
  <c r="BD106" i="2"/>
  <c r="BE107" i="2"/>
  <c r="BD78" i="2"/>
  <c r="BE79" i="2"/>
  <c r="BD41" i="2" l="1"/>
  <c r="BE42" i="2"/>
  <c r="BD42" i="2" s="1"/>
  <c r="G32" i="5"/>
  <c r="H32" i="5" s="1"/>
  <c r="I32" i="5" s="1"/>
  <c r="J32" i="5" s="1"/>
  <c r="F32" i="5"/>
  <c r="F33" i="5"/>
  <c r="K33" i="5" s="1"/>
  <c r="G33" i="5"/>
  <c r="H33" i="5" s="1"/>
  <c r="I33" i="5" s="1"/>
  <c r="J33" i="5" s="1"/>
  <c r="G31" i="5"/>
  <c r="H31" i="5" s="1"/>
  <c r="I31" i="5" s="1"/>
  <c r="J31" i="5" s="1"/>
  <c r="F31" i="5"/>
  <c r="F30" i="5"/>
  <c r="G30" i="5"/>
  <c r="H30" i="5" s="1"/>
  <c r="I30" i="5" s="1"/>
  <c r="J30" i="5" s="1"/>
  <c r="BE129" i="2"/>
  <c r="BD128" i="2"/>
  <c r="BD107" i="2"/>
  <c r="BE108" i="2"/>
  <c r="BD79" i="2"/>
  <c r="BE80" i="2"/>
  <c r="K32" i="5" l="1"/>
  <c r="K30" i="5"/>
  <c r="K31" i="5"/>
  <c r="BD129" i="2"/>
  <c r="BE130" i="2"/>
  <c r="BD108" i="2"/>
  <c r="BE109" i="2"/>
  <c r="BE81" i="2"/>
  <c r="BD80" i="2"/>
  <c r="BE131" i="2" l="1"/>
  <c r="BD130" i="2"/>
  <c r="BD81" i="2"/>
  <c r="BE82" i="2"/>
  <c r="BD109" i="2"/>
  <c r="BE110" i="2"/>
  <c r="BD82" i="2" l="1"/>
  <c r="BE83" i="2"/>
  <c r="BE132" i="2"/>
  <c r="BD131" i="2"/>
  <c r="BE111" i="2"/>
  <c r="BD110" i="2"/>
  <c r="BD132" i="2" l="1"/>
  <c r="BE133" i="2"/>
  <c r="BD133" i="2" s="1"/>
  <c r="BD83" i="2"/>
  <c r="BE84" i="2"/>
  <c r="BD84" i="2" s="1"/>
  <c r="BD111" i="2"/>
  <c r="BE112" i="2"/>
  <c r="BD112" i="2" l="1"/>
  <c r="BE113" i="2"/>
  <c r="F30" i="2" l="1"/>
  <c r="F28" i="2"/>
  <c r="G28" i="2" s="1"/>
  <c r="BD113" i="2"/>
  <c r="F29" i="2" s="1"/>
  <c r="G29" i="2" s="1"/>
  <c r="O24" i="2" s="1"/>
  <c r="BE114" i="2"/>
  <c r="BD114" i="2" s="1"/>
  <c r="H28" i="2" l="1"/>
  <c r="I28" i="2" s="1"/>
  <c r="J28" i="2" s="1"/>
  <c r="K28" i="2" s="1"/>
  <c r="L28" i="2" s="1"/>
  <c r="H29" i="2"/>
  <c r="I29" i="2" s="1"/>
  <c r="N29" i="2" s="1"/>
  <c r="H30" i="2"/>
  <c r="I30" i="2" s="1"/>
  <c r="N30" i="2" s="1"/>
  <c r="G30" i="2"/>
  <c r="F34" i="2"/>
  <c r="G34" i="2" s="1"/>
  <c r="F32" i="2"/>
  <c r="F31" i="2"/>
  <c r="F33" i="2"/>
  <c r="N28" i="2" l="1"/>
  <c r="P28" i="2" s="1"/>
  <c r="J29" i="2"/>
  <c r="K29" i="2" s="1"/>
  <c r="L29" i="2" s="1"/>
  <c r="M29" i="2" s="1"/>
  <c r="J30" i="2"/>
  <c r="K30" i="2" s="1"/>
  <c r="M28" i="2"/>
  <c r="H34" i="2"/>
  <c r="I34" i="2" s="1"/>
  <c r="N34" i="2" s="1"/>
  <c r="J34" i="2"/>
  <c r="K34" i="2" s="1"/>
  <c r="L34" i="2"/>
  <c r="G33" i="2"/>
  <c r="H33" i="2"/>
  <c r="I33" i="2" s="1"/>
  <c r="N33" i="2" s="1"/>
  <c r="H31" i="2"/>
  <c r="I31" i="2" s="1"/>
  <c r="J31" i="2" s="1"/>
  <c r="K31" i="2" s="1"/>
  <c r="G31" i="2"/>
  <c r="H32" i="2"/>
  <c r="I32" i="2" s="1"/>
  <c r="G32" i="2"/>
  <c r="G11" i="2" s="1"/>
  <c r="G15" i="2" s="1"/>
  <c r="L31" i="2" l="1"/>
  <c r="P29" i="2"/>
  <c r="L30" i="2"/>
  <c r="M30" i="2" s="1"/>
  <c r="P30" i="2"/>
  <c r="P34" i="2"/>
  <c r="M11" i="2"/>
  <c r="M15" i="2" s="1"/>
  <c r="K11" i="2"/>
  <c r="K15" i="2" s="1"/>
  <c r="L11" i="2"/>
  <c r="L15" i="2" s="1"/>
  <c r="E11" i="2"/>
  <c r="E15" i="2" s="1"/>
  <c r="I11" i="2"/>
  <c r="I15" i="2" s="1"/>
  <c r="N32" i="2"/>
  <c r="J32" i="2"/>
  <c r="K32" i="2" s="1"/>
  <c r="L32" i="2" s="1"/>
  <c r="N31" i="2"/>
  <c r="P31" i="2" s="1"/>
  <c r="J33" i="2"/>
  <c r="K33" i="2" s="1"/>
  <c r="L33" i="2" s="1"/>
  <c r="M33" i="2" s="1"/>
  <c r="H11" i="2"/>
  <c r="M34" i="2"/>
  <c r="N11" i="2"/>
  <c r="N15" i="2" s="1"/>
  <c r="J11" i="2"/>
  <c r="J15" i="2" s="1"/>
  <c r="F11" i="2"/>
  <c r="F15" i="2" s="1"/>
  <c r="M32" i="2" l="1"/>
  <c r="M31" i="2"/>
  <c r="P33" i="2"/>
  <c r="P32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Planejamento - Rodrigo Pasquale Mazzaro</author>
  </authors>
  <commentList>
    <comment ref="B24" authorId="0" shapeId="0" xr:uid="{63761749-C85E-42B7-8A9E-27B7AC05E378}">
      <text>
        <r>
          <rPr>
            <b/>
            <sz val="9"/>
            <color indexed="81"/>
            <rFont val="Segoe UI"/>
            <family val="2"/>
          </rPr>
          <t xml:space="preserve"> Caso  queira adicionar uma margem que o cliente tem na parcela do refin, digite o valor da margem que será agregada aqui</t>
        </r>
        <r>
          <rPr>
            <sz val="9"/>
            <color indexed="81"/>
            <rFont val="Segoe UI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Planejamento - Rodrigo Pasquale Mazzaro</author>
  </authors>
  <commentList>
    <comment ref="B22" authorId="0" shapeId="0" xr:uid="{FBB61BF7-4ADE-4B8C-BF91-EA7CD0293112}">
      <text>
        <r>
          <rPr>
            <b/>
            <sz val="9"/>
            <color indexed="81"/>
            <rFont val="Segoe UI"/>
            <family val="2"/>
          </rPr>
          <t>Para validar possível reassinatura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C25" authorId="0" shapeId="0" xr:uid="{75EFAF66-ED66-44CF-BAD3-8D02EA4920F9}">
      <text>
        <r>
          <rPr>
            <b/>
            <sz val="9"/>
            <color indexed="81"/>
            <rFont val="Segoe UI"/>
            <family val="2"/>
          </rPr>
          <t xml:space="preserve"> Caso  queira adicionar uma margem que o cliente tem na parcela do refin, digite o valor da margem que será agregada aqui</t>
        </r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916B78A7-0BAE-4E3E-B312-3CAFB1E37C4A}" keepAlive="1" name="Consulta - Consulta1" description="Conexão com a consulta 'Consulta1' na pasta de trabalho." type="5" refreshedVersion="8" background="1" saveData="1">
    <dbPr connection="Provider=Microsoft.Mashup.OleDb.1;Data Source=$Workbook$;Location=Consulta1;Extended Properties=&quot;&quot;" command="SELECT * FROM [Consulta1]"/>
  </connection>
</connections>
</file>

<file path=xl/sharedStrings.xml><?xml version="1.0" encoding="utf-8"?>
<sst xmlns="http://schemas.openxmlformats.org/spreadsheetml/2006/main" count="1147" uniqueCount="522">
  <si>
    <t>Valor da parcela</t>
  </si>
  <si>
    <t>Saldo Devedor</t>
  </si>
  <si>
    <t>qtd pagas</t>
  </si>
  <si>
    <t>REFIN PORT</t>
  </si>
  <si>
    <t>Valor contrato</t>
  </si>
  <si>
    <t>Coeficiente</t>
  </si>
  <si>
    <t>Liquido Cliente</t>
  </si>
  <si>
    <t>SALDO DEVEDOR</t>
  </si>
  <si>
    <t xml:space="preserve"> </t>
  </si>
  <si>
    <t>1 - Dados da PORT</t>
  </si>
  <si>
    <t>2 - Dados do Troco</t>
  </si>
  <si>
    <t>Taxa maxima REFIN (PONDERADA )</t>
  </si>
  <si>
    <t>CALCULAR TAXA PORTABILIDADE</t>
  </si>
  <si>
    <t>CALCULAR TAXA  TROCO</t>
  </si>
  <si>
    <t>CALCULAR TAXA  REFIN</t>
  </si>
  <si>
    <t>DATA SIMULAÇÃO</t>
  </si>
  <si>
    <t>DATA 1 ° VENCIMENTO</t>
  </si>
  <si>
    <t>TROCO</t>
  </si>
  <si>
    <t>REFIN</t>
  </si>
  <si>
    <t>R$ PARCELA</t>
  </si>
  <si>
    <t>R$ PARCELA NOVA</t>
  </si>
  <si>
    <t>QTD PARC</t>
  </si>
  <si>
    <t>TAXA RETORNO CIP</t>
  </si>
  <si>
    <t>TAXA MAXIMA</t>
  </si>
  <si>
    <t>TAXA RESULTANTE</t>
  </si>
  <si>
    <t>base 360</t>
  </si>
  <si>
    <t xml:space="preserve">PORTABILIDADE </t>
  </si>
  <si>
    <t>Taxa retorno</t>
  </si>
  <si>
    <t>Resultado</t>
  </si>
  <si>
    <t xml:space="preserve">soma parcelas </t>
  </si>
  <si>
    <t>Taxa Ponderada</t>
  </si>
  <si>
    <t>Taxa Portada</t>
  </si>
  <si>
    <t>Prazo Portado</t>
  </si>
  <si>
    <t>Caso já tenha o saldo devedor aproximado, utilizar este simulador</t>
  </si>
  <si>
    <t>AERONÁUTICA</t>
  </si>
  <si>
    <t>MARINHA</t>
  </si>
  <si>
    <t>SIAPE</t>
  </si>
  <si>
    <t>EXÉRCITO</t>
  </si>
  <si>
    <t>EMPREGADOR</t>
  </si>
  <si>
    <t>Taxa</t>
  </si>
  <si>
    <t>795032 - Tabela 1</t>
  </si>
  <si>
    <t>795033 - Tabela 2</t>
  </si>
  <si>
    <t>795353 - Tabela 1</t>
  </si>
  <si>
    <t>795352 - Tabela 2</t>
  </si>
  <si>
    <t>PRAZO</t>
  </si>
  <si>
    <t>FATOR</t>
  </si>
  <si>
    <t>CENÁRIO</t>
  </si>
  <si>
    <t>teto</t>
  </si>
  <si>
    <t>coefciente</t>
  </si>
  <si>
    <t xml:space="preserve">tx maxima </t>
  </si>
  <si>
    <t>VCTO</t>
  </si>
  <si>
    <t>INSS</t>
  </si>
  <si>
    <t>815061 - Tabela 1</t>
  </si>
  <si>
    <t xml:space="preserve">Simulação feita para a data : </t>
  </si>
  <si>
    <t>TAXA DO CONTRATO</t>
  </si>
  <si>
    <t>Taxa INSS</t>
  </si>
  <si>
    <t>Tabela Superior Taxa Ponderada</t>
  </si>
  <si>
    <t>TAXA MÁXIMA DO CONVÊNIO</t>
  </si>
  <si>
    <t>TAXA PORTADA</t>
  </si>
  <si>
    <t>PARCELAS PAGAS</t>
  </si>
  <si>
    <t>PRAZO MAX REFIN</t>
  </si>
  <si>
    <t>teto convenio</t>
  </si>
  <si>
    <t>Simulador para calcular o saldo devedor aproximado</t>
  </si>
  <si>
    <t>SELEÇÃO EMPREGADOR</t>
  </si>
  <si>
    <t>PORTABILIDADE</t>
  </si>
  <si>
    <t>PARCEMAS EM ABERTO</t>
  </si>
  <si>
    <t>Parcelas em aberto</t>
  </si>
  <si>
    <t>Valor original do contrato</t>
  </si>
  <si>
    <t>Prazo original do contrato</t>
  </si>
  <si>
    <t>Margem adicional</t>
  </si>
  <si>
    <t>SALDO DEVEDOR RECALCULADO</t>
  </si>
  <si>
    <t>SALDO DEVEDOR APROXIMADO</t>
  </si>
  <si>
    <t>Parcela do Refin</t>
  </si>
  <si>
    <t>Valor Parcela</t>
  </si>
  <si>
    <t>minima</t>
  </si>
  <si>
    <t>Tx minima Refin</t>
  </si>
  <si>
    <t>TX maxima Empregador</t>
  </si>
  <si>
    <t>TOLERANCIA REFIN</t>
  </si>
  <si>
    <t>795355 - Tabela 3</t>
  </si>
  <si>
    <t>795357 - Tabela 4</t>
  </si>
  <si>
    <t>id_tabela</t>
  </si>
  <si>
    <t>795826 - Tabela 1</t>
  </si>
  <si>
    <t>795827 - Tabela 2</t>
  </si>
  <si>
    <t>795828 - Tabela 3</t>
  </si>
  <si>
    <t>815082 - Tabela 2</t>
  </si>
  <si>
    <t>815083 - Tabela 3</t>
  </si>
  <si>
    <t>815084 - Tabela 4</t>
  </si>
  <si>
    <t>815085 - Tabela 5</t>
  </si>
  <si>
    <t>815086 - Tabela 6</t>
  </si>
  <si>
    <t>795034 - Tabela 3</t>
  </si>
  <si>
    <t>795040 - Tabela 4</t>
  </si>
  <si>
    <t>Valores Digitados</t>
  </si>
  <si>
    <t>Valores Recalculados</t>
  </si>
  <si>
    <t>TABELA</t>
  </si>
  <si>
    <t>GOV BAHIA</t>
  </si>
  <si>
    <t>PREF SP</t>
  </si>
  <si>
    <t>GOV MA</t>
  </si>
  <si>
    <t>GOV SP PM PORT</t>
  </si>
  <si>
    <t>GOV AM</t>
  </si>
  <si>
    <t>SEPLAG</t>
  </si>
  <si>
    <t xml:space="preserve">GOV SC </t>
  </si>
  <si>
    <t>GOV PE</t>
  </si>
  <si>
    <t>785041 - Tabela 1</t>
  </si>
  <si>
    <t>785042 - Tabela 2</t>
  </si>
  <si>
    <t>785043 - Tabela 3</t>
  </si>
  <si>
    <t>785044 - Tabela 4</t>
  </si>
  <si>
    <t>765601 - Tabela 1</t>
  </si>
  <si>
    <t>765602 - Tabela 2</t>
  </si>
  <si>
    <t>765603 - Tabela 3</t>
  </si>
  <si>
    <t>765604 - Tabela 4</t>
  </si>
  <si>
    <t>775185 - Tabela 1</t>
  </si>
  <si>
    <t>775186 - Tabela 2</t>
  </si>
  <si>
    <t>775187 - Tabela 3</t>
  </si>
  <si>
    <t>775188 - Tabela 4</t>
  </si>
  <si>
    <t>715364 - Tabela 4</t>
  </si>
  <si>
    <t>715366 - Tabela 6</t>
  </si>
  <si>
    <t>715362 - Tabela 2</t>
  </si>
  <si>
    <t>715363 - Tabela 3</t>
  </si>
  <si>
    <t>745125 - Tabela 1</t>
  </si>
  <si>
    <t>795921 - Tabela 1</t>
  </si>
  <si>
    <t>795925 - Tabela 2</t>
  </si>
  <si>
    <t>795926 - Tabela 3</t>
  </si>
  <si>
    <t>795927 - Tabela 4</t>
  </si>
  <si>
    <t>705189 - Tabela 5</t>
  </si>
  <si>
    <t>TAXA</t>
  </si>
  <si>
    <t>TETO_COMERCIAL</t>
  </si>
  <si>
    <t>CARENCIA_FINAL</t>
  </si>
  <si>
    <t>AERONAUTICA</t>
  </si>
  <si>
    <t/>
  </si>
  <si>
    <t>AMAZONPREV - AM</t>
  </si>
  <si>
    <t>755501 - Tabela 1</t>
  </si>
  <si>
    <t>755504 - Tabela 2</t>
  </si>
  <si>
    <t>BOMBEIROS MG</t>
  </si>
  <si>
    <t>765613 - Tabela 3</t>
  </si>
  <si>
    <t>765614 - Tabela 4</t>
  </si>
  <si>
    <t>EXERCITO</t>
  </si>
  <si>
    <t>GOV ACRE</t>
  </si>
  <si>
    <t>745131 - Tabela 1</t>
  </si>
  <si>
    <t>745137 - Tabela 2</t>
  </si>
  <si>
    <t>GOV ES</t>
  </si>
  <si>
    <t>705181 - Tabela 1</t>
  </si>
  <si>
    <t>705187 - Tabela 4</t>
  </si>
  <si>
    <t>GOV GO</t>
  </si>
  <si>
    <t>GOV MT</t>
  </si>
  <si>
    <t>745111 - Tabela 1</t>
  </si>
  <si>
    <t>745112 - Tabela 2</t>
  </si>
  <si>
    <t>GOV PARANA</t>
  </si>
  <si>
    <t>795039 - Tabela 1</t>
  </si>
  <si>
    <t>GOV PB</t>
  </si>
  <si>
    <t>505001 - Tabela 1</t>
  </si>
  <si>
    <t xml:space="preserve">745130 - Tabela </t>
  </si>
  <si>
    <t>GOV RONDONIA</t>
  </si>
  <si>
    <t>775191 - Tabela 1</t>
  </si>
  <si>
    <t>775192 - Tabela 2</t>
  </si>
  <si>
    <t>774028 - Tabela 1</t>
  </si>
  <si>
    <t>774029 - Tabela 2</t>
  </si>
  <si>
    <t>774030 - Tabela 3</t>
  </si>
  <si>
    <t>774037 - Tabela 4</t>
  </si>
  <si>
    <t>774038 - Tabela 5</t>
  </si>
  <si>
    <t>704040 - Tabela 1</t>
  </si>
  <si>
    <t>704042 - Tabela 2</t>
  </si>
  <si>
    <t>704043 - Tabela 3</t>
  </si>
  <si>
    <t>704044 - Tabela 4</t>
  </si>
  <si>
    <t>704045 - Tabela 5</t>
  </si>
  <si>
    <t>GOV. MS</t>
  </si>
  <si>
    <t>705278 - Tabela 3</t>
  </si>
  <si>
    <t>GOV. PIAUI</t>
  </si>
  <si>
    <t>785931 - Tabela 1</t>
  </si>
  <si>
    <t>785933 - Tabela 2</t>
  </si>
  <si>
    <t>INSS AOL</t>
  </si>
  <si>
    <t>IPSEMG MG</t>
  </si>
  <si>
    <t>765631 - Tabela 1</t>
  </si>
  <si>
    <t>765632 - Tabela 2</t>
  </si>
  <si>
    <t>765633 - Tabela 3</t>
  </si>
  <si>
    <t>765634 - Tabela 4</t>
  </si>
  <si>
    <t>IPSM MG</t>
  </si>
  <si>
    <t>765643 - Tabela 3</t>
  </si>
  <si>
    <t>MANAUSPREV</t>
  </si>
  <si>
    <t>705531 - Tabela 1</t>
  </si>
  <si>
    <t>705532 - Tabela 2</t>
  </si>
  <si>
    <t>705533 - Tabela 3</t>
  </si>
  <si>
    <t>PM FEIRA DE SAN</t>
  </si>
  <si>
    <t>765052 - Tabela 2</t>
  </si>
  <si>
    <t>765053 - Tabela 3</t>
  </si>
  <si>
    <t>PM MG</t>
  </si>
  <si>
    <t>765622 - Tabela 2</t>
  </si>
  <si>
    <t>765623 - Tabela 3</t>
  </si>
  <si>
    <t>765624 - Tabela 4</t>
  </si>
  <si>
    <t>PREF ARACAJU</t>
  </si>
  <si>
    <t>705328 - Tabela 5</t>
  </si>
  <si>
    <t>PREF BOA VISTA</t>
  </si>
  <si>
    <t>765101 - Tabela 1</t>
  </si>
  <si>
    <t>765102 - Tabela 2</t>
  </si>
  <si>
    <t>PREF CUIABA</t>
  </si>
  <si>
    <t>715171 - Tabela 1</t>
  </si>
  <si>
    <t>PREF FLORIANOPO</t>
  </si>
  <si>
    <t>745097 - Tabela 1</t>
  </si>
  <si>
    <t>PREF FORTALEZA</t>
  </si>
  <si>
    <t>765120 - Tabela 1</t>
  </si>
  <si>
    <t>765121 - Tabela 2</t>
  </si>
  <si>
    <t>765134 - Tabela 5</t>
  </si>
  <si>
    <t>765135 - Tabela 6</t>
  </si>
  <si>
    <t>PREF GOIANIA</t>
  </si>
  <si>
    <t>745407 - Tabela 1</t>
  </si>
  <si>
    <t>PREF GRAVATAI</t>
  </si>
  <si>
    <t>745745 - Tabela 3</t>
  </si>
  <si>
    <t>745746 - Tabela 3</t>
  </si>
  <si>
    <t>745747 - Tabela 4</t>
  </si>
  <si>
    <t>PREF GUARUJ</t>
  </si>
  <si>
    <t>720002 - Tabela 3</t>
  </si>
  <si>
    <t>PREF GUARULHOS</t>
  </si>
  <si>
    <t>795603 - Tabela 2</t>
  </si>
  <si>
    <t>795605 - Tabela 3</t>
  </si>
  <si>
    <t>795607 - Tabela 4</t>
  </si>
  <si>
    <t>795608 - Tabela 5</t>
  </si>
  <si>
    <t>PREF MANAUS.</t>
  </si>
  <si>
    <t>793281 - Tabela 1</t>
  </si>
  <si>
    <t>793282 - Tabela 2</t>
  </si>
  <si>
    <t>793283 - Tabela 3</t>
  </si>
  <si>
    <t>PREF PG</t>
  </si>
  <si>
    <t>755072 - Tabela 2</t>
  </si>
  <si>
    <t>PREF S JOSE SC</t>
  </si>
  <si>
    <t>775757 - Tabela 1</t>
  </si>
  <si>
    <t>PREF SALVAD MAR</t>
  </si>
  <si>
    <t>705242 - Tabela 4</t>
  </si>
  <si>
    <t>705243 - Tabela 5</t>
  </si>
  <si>
    <t>705245 - Tabela 5</t>
  </si>
  <si>
    <t>705246 - Tabela 6</t>
  </si>
  <si>
    <t>705248 - Tabela 6</t>
  </si>
  <si>
    <t>705249 - Tabela 7</t>
  </si>
  <si>
    <t>705251 - Tabela 7</t>
  </si>
  <si>
    <t>PREF. ARACRUZ</t>
  </si>
  <si>
    <t>350013 - Tabela 1</t>
  </si>
  <si>
    <t>PREF. BH</t>
  </si>
  <si>
    <t>795061 - Tabela 1</t>
  </si>
  <si>
    <t>795067 - Tabela 2</t>
  </si>
  <si>
    <t>PREF. M. SOBRAL</t>
  </si>
  <si>
    <t>795076 - Tabela 6</t>
  </si>
  <si>
    <t>SIAPE SERV PORT</t>
  </si>
  <si>
    <t>TJ SAO PAULO</t>
  </si>
  <si>
    <t>901059 - Tabela 2</t>
  </si>
  <si>
    <t>901064 - Tabela 3</t>
  </si>
  <si>
    <t>901068 - Tabela 3</t>
  </si>
  <si>
    <t>USP</t>
  </si>
  <si>
    <t>725543 - Tabela 2</t>
  </si>
  <si>
    <t>Rótulos de Linha</t>
  </si>
  <si>
    <t>Total Geral</t>
  </si>
  <si>
    <t>Máx. de PRAZO</t>
  </si>
  <si>
    <t>Mín. de TAXA</t>
  </si>
  <si>
    <t>PMDESCRPRD</t>
  </si>
  <si>
    <t>min_port</t>
  </si>
  <si>
    <t>RFN-AERONAUTICA 3 DIG PORTAB</t>
  </si>
  <si>
    <t>RFN-AERONAUTICA 2 DIG PORTAB</t>
  </si>
  <si>
    <t>RFN-AERONAUTICA 1 DIG PORTAB</t>
  </si>
  <si>
    <t>RFN - AMAZONPREV DIG 2 PORTAB PLUS</t>
  </si>
  <si>
    <t>1,85</t>
  </si>
  <si>
    <t>RFN - AMAZONPREV DIG 1 PORTAB PLUS</t>
  </si>
  <si>
    <t>RFN - BOMBEIROS 4 DIG PORTABILIDADE</t>
  </si>
  <si>
    <t>1,64</t>
  </si>
  <si>
    <t>RFN - BOMBEIROS 3 DIG PORTABILIDADE</t>
  </si>
  <si>
    <t>DEMAE</t>
  </si>
  <si>
    <t>795831 - Tabela 1</t>
  </si>
  <si>
    <t>RFN - DEMAE UBERLANDIA 1 PORTAB DIG</t>
  </si>
  <si>
    <t>1,55</t>
  </si>
  <si>
    <t>RFN - EXERCITO DIG PORTABILIDADE 4</t>
  </si>
  <si>
    <t>RFN - EXERCITO DIG PORTABILIDADE 3</t>
  </si>
  <si>
    <t>RFN - EXERCITO DIG PORTABILIDADE 2</t>
  </si>
  <si>
    <t>RFN - EXERCITO DIG PORTABILIDADE 1</t>
  </si>
  <si>
    <t>RFN - GOV. ACRE DIG 2 PORTAB</t>
  </si>
  <si>
    <t>1,65</t>
  </si>
  <si>
    <t>RFN - GOV. ACRE DIG 1 PORTAB</t>
  </si>
  <si>
    <t>RFN - GOV. AM PORTAB 4 DIG</t>
  </si>
  <si>
    <t>1,5</t>
  </si>
  <si>
    <t>RFN - GOV. AM PORTAB 3 DIG</t>
  </si>
  <si>
    <t>RFN - GOV. AM PORTAB 2 DIG</t>
  </si>
  <si>
    <t>RFN - GOV. AM PORTAB 1 DIG</t>
  </si>
  <si>
    <t>RFN - GOV. BAHIA DIG PORTABILIDADE 6</t>
  </si>
  <si>
    <t>1,3</t>
  </si>
  <si>
    <t>715365 - Tabela 5</t>
  </si>
  <si>
    <t>RFN - GOV. BAHIA DIG PORTABILIDADE 5</t>
  </si>
  <si>
    <t>RFN - GOV. BAHIA DIG PORTABILIDADE 4</t>
  </si>
  <si>
    <t>RFN - GOV. BAHIA DIG PORTABILIDADE 3</t>
  </si>
  <si>
    <t>RFN - GOV. BAHIA DIG PORTABILIDADE 2</t>
  </si>
  <si>
    <t>715361 - Tabela 1</t>
  </si>
  <si>
    <t>RFN - GOV. BAHIA DIG PORTABILIDADE 1</t>
  </si>
  <si>
    <t>RFN - GOV. ES DIG 4 PORTAB</t>
  </si>
  <si>
    <t>1,11</t>
  </si>
  <si>
    <t>RFN - GOV. ES DIG 1 PORTAB</t>
  </si>
  <si>
    <t>745106 - Tabela 1</t>
  </si>
  <si>
    <t>RFN - GOV. GOIAS 1 DIG PORTAB</t>
  </si>
  <si>
    <t>1,87</t>
  </si>
  <si>
    <t>RFN - GOV. MARANHAO DIG 4 PORTABILIDADE</t>
  </si>
  <si>
    <t>1,7</t>
  </si>
  <si>
    <t>RFN - GOV. MARANHAO DIG 3 PORTABILIDADE</t>
  </si>
  <si>
    <t>RFN - GOV. MARANHAO DIG 2 PORTABILIDADE</t>
  </si>
  <si>
    <t>RFN - GOV. MARANHAO DIG 1 PORTABILIDADE</t>
  </si>
  <si>
    <t>RFN - GOV MT DIG 2 PORTAB</t>
  </si>
  <si>
    <t>RFN - GOV MT DIG 1 PORTAB</t>
  </si>
  <si>
    <t>RFN - GOV PR DIG PORTAB 1</t>
  </si>
  <si>
    <t>RFN - GOV. PARAIBA 1 DIG PORTAB</t>
  </si>
  <si>
    <t>RFN - GOV. PE DIG PORTABILIDADE COMB</t>
  </si>
  <si>
    <t>RFN - GOV. PE DIG 1 PORTABILIDADE</t>
  </si>
  <si>
    <t>RFN - GOV. RONDONIA 2 DIG PORTAB</t>
  </si>
  <si>
    <t>1,75</t>
  </si>
  <si>
    <t>RFN - GOV. RONDONIA 1 DIG PORTAB</t>
  </si>
  <si>
    <t>745167 - Tabela 2</t>
  </si>
  <si>
    <t>RFN - GOV. SC DIG 2 PORTAB</t>
  </si>
  <si>
    <t>745166 - Tabela 1</t>
  </si>
  <si>
    <t>RFN - GOV. SC DIG 1 PORTAB</t>
  </si>
  <si>
    <t>RFN - GOV SP - SEFAZ 5 DIG PORTAB PLUS</t>
  </si>
  <si>
    <t>1,44</t>
  </si>
  <si>
    <t>RFN - GOV SP - SPPREV 5 DIG PORTAB PLUS</t>
  </si>
  <si>
    <t>RFN - GOV SP - SEFAZ 4 DIG PORTAB PLUS</t>
  </si>
  <si>
    <t>RFN - GOV SP - SPPREV 4 DIG PORTAB PLUS</t>
  </si>
  <si>
    <t>RFN - GOV SP - SPPREV 3 DIG PORTAB PLUS</t>
  </si>
  <si>
    <t>RFN - GOV SP - SEFAZ 3 DIG PORTAB PLUS</t>
  </si>
  <si>
    <t>RFN - GOV SP - SEFAZ 2 DIG PORTAB PLUS</t>
  </si>
  <si>
    <t>RFN - GOV SP - SPPREV 2 DIG PORTAB PLUS</t>
  </si>
  <si>
    <t>RFN - GOV SP - SPPREV 1 DIG PORTAB PLUS</t>
  </si>
  <si>
    <t>RFN - GOV SP - SEFAZ 1 DIG PORTAB PLUS</t>
  </si>
  <si>
    <t>RFN - GOV SP - PM 5 PORTAB DIG</t>
  </si>
  <si>
    <t>705174 - Tabela 4</t>
  </si>
  <si>
    <t>RFN - GOV SP - PM 4 PORTAB DIG</t>
  </si>
  <si>
    <t>705173 - Tabela 3</t>
  </si>
  <si>
    <t>RFN - GOV SP - PM 3 PORTAB DIG</t>
  </si>
  <si>
    <t>705172 - Tabela 2</t>
  </si>
  <si>
    <t>RFN - GOV SP - PM 2 PORTAB DIG</t>
  </si>
  <si>
    <t>705171 - Tabela 1</t>
  </si>
  <si>
    <t>RFN - GOV SP - PM 1 PORTAB DIG</t>
  </si>
  <si>
    <t>RFN - GOV. MS DIG 3 PORTAB</t>
  </si>
  <si>
    <t>705277 - Tabela 2</t>
  </si>
  <si>
    <t>RFN - GOV. MS DIG 2 PORTAB</t>
  </si>
  <si>
    <t>705276 - Tabela 1</t>
  </si>
  <si>
    <t>RFN - GOV. MS DIG 1 PORTAB</t>
  </si>
  <si>
    <t>RFN - GOV PIAUI 2 DIG PORTAB</t>
  </si>
  <si>
    <t>RFN - GOV PIAUI 1 DIG PORTAB</t>
  </si>
  <si>
    <t>RFN - INSS 6 PORTAB DIG AOL</t>
  </si>
  <si>
    <t>RFN - INSS 5 PORTAB DIG AOL</t>
  </si>
  <si>
    <t>RFN - INSS 4 PORTAB DIG AOL</t>
  </si>
  <si>
    <t>RFN - INSS 3 PORTAB DIG AOL</t>
  </si>
  <si>
    <t>RFN - INSS 2 PORTAB DIG AOL</t>
  </si>
  <si>
    <t>RFN - INSS 1 PORTAB DIG AOL</t>
  </si>
  <si>
    <t>RFN - IPSEMG 4 DIG PORTABILIDADE</t>
  </si>
  <si>
    <t>RFN - IPSEMG 3 DIG PORTABILIDADE</t>
  </si>
  <si>
    <t>RFN - IPSEMG 2 DIG PORTABILIDADE</t>
  </si>
  <si>
    <t>RFN - IPSEMG 1 DIG PORTABILIDADE</t>
  </si>
  <si>
    <t>RFN - IPSM 3 DIG PORTABILIDADE</t>
  </si>
  <si>
    <t>RFN - MANAUSPREV DIG PORTAB PLUS 3</t>
  </si>
  <si>
    <t>RFN - MANAUSPREV DIG PORTAB PLUS 2</t>
  </si>
  <si>
    <t>RFN - MANAUSPREV DIG PORTAB PLUS 1</t>
  </si>
  <si>
    <t>RFN-MARINHA DIG PORTAB PLUS 4</t>
  </si>
  <si>
    <t>1,15</t>
  </si>
  <si>
    <t>RFN-MARINHA DIG PORTAB PLUS 3</t>
  </si>
  <si>
    <t>RFN-MARINHA DIG PORTAB PLUS 2</t>
  </si>
  <si>
    <t>RFN-MARINHA DIG PORTAB PLUS 1</t>
  </si>
  <si>
    <t xml:space="preserve">RFN-PREF. FEIRA DE SANTANA DIG 3 PORTAB </t>
  </si>
  <si>
    <t>1,91</t>
  </si>
  <si>
    <t xml:space="preserve">RFN-PREF. FEIRA DE SANTANA DIG 2 PORTAB </t>
  </si>
  <si>
    <t>765051 - Tabela 1</t>
  </si>
  <si>
    <t xml:space="preserve">RFN-PREF. FEIRA DE SANTANA DIG 1 PORTAB </t>
  </si>
  <si>
    <t>RFN - POLICIA 4 DIG PORTABILIDADE</t>
  </si>
  <si>
    <t>RFN - POLICIA 3 DIG PORTABILIDADE</t>
  </si>
  <si>
    <t>RFN - POLICIA 2 DIG PORTABILIDADE</t>
  </si>
  <si>
    <t>765621 - Tabela 1</t>
  </si>
  <si>
    <t>RFN - POLICIA 1 DIG PORTABILIDADE</t>
  </si>
  <si>
    <t>RFN - PREF ARACAJU PORTAB 5 DIG PLUS</t>
  </si>
  <si>
    <t>1,94</t>
  </si>
  <si>
    <t>RFN - PREF DE BOA VISTA PORTAB 2 DIG</t>
  </si>
  <si>
    <t>1,9</t>
  </si>
  <si>
    <t>RFN - PREF DE BOA VISTA PORTAB 1 DIG</t>
  </si>
  <si>
    <t>PREF CAMAÇARI</t>
  </si>
  <si>
    <t>881108 - Tabela 5</t>
  </si>
  <si>
    <t>RFN - PREF CAMAÇARI PORTAB 5 DIG</t>
  </si>
  <si>
    <t>2</t>
  </si>
  <si>
    <t>RFN - PREF CUIABA DIG 1 PORTAB</t>
  </si>
  <si>
    <t>RFN - PREF FLORIPA PORTAB 1 DIG AROS</t>
  </si>
  <si>
    <t>745096 - Tabela 1</t>
  </si>
  <si>
    <t>RFN - PREF FLORIPA PORTAB 1 DIG</t>
  </si>
  <si>
    <t>RFN - PREF FORTALEZA DIG PORTABILIDADE 6</t>
  </si>
  <si>
    <t>1,29</t>
  </si>
  <si>
    <t>RFN - PREF FORTALEZA DIG PORTABILIDADE 5</t>
  </si>
  <si>
    <t>765123 - Tabela 4</t>
  </si>
  <si>
    <t>RFN - PREF FORTALEZA DIG PORTABILIDADE 4</t>
  </si>
  <si>
    <t>765122 - Tabela 3</t>
  </si>
  <si>
    <t>RFN - PREF FORTALEZA DIG PORTABILIDADE 3</t>
  </si>
  <si>
    <t>RFN - PREF FORTALEZA DIG PORTABILIDADE 2</t>
  </si>
  <si>
    <t>RFN - PREF FORTALEZA DIG PORTABILIDADE 1</t>
  </si>
  <si>
    <t>RFN - PREF GOIANIA DIG PORTABILIDADE 1</t>
  </si>
  <si>
    <t>2,2</t>
  </si>
  <si>
    <t>RFN - PREF GRAVATAI DIG PORTAB 4 PLUS</t>
  </si>
  <si>
    <t>RFN - PREF GRAVATAI DIG PORTAB 3 PLUS</t>
  </si>
  <si>
    <t>RFN - PREF GRAVATAI DIG PORTAB 3 CLT PLU</t>
  </si>
  <si>
    <t>RFN - PREF. GUARUJA PORTABILIDADE 3</t>
  </si>
  <si>
    <t>1,74</t>
  </si>
  <si>
    <t>RFN - PREF. GUARULHOS DIG 5 PORTAB</t>
  </si>
  <si>
    <t>RFN - PREF. GUARULHOS DIG 4 PORTAB</t>
  </si>
  <si>
    <t>RFN - PREF. GUARULHOS DIG 3 PORTAB</t>
  </si>
  <si>
    <t>RFN - PREF. GUARULHOS DIG 2 PORTAB</t>
  </si>
  <si>
    <t>PREF ITANHA</t>
  </si>
  <si>
    <t>745882 - Tabela 2</t>
  </si>
  <si>
    <t>RFN - PREF. ITANHAEM DIG 2 PORTAB</t>
  </si>
  <si>
    <t>PREF JUIZ FORA</t>
  </si>
  <si>
    <t>795161 - Tabela 1</t>
  </si>
  <si>
    <t>RFN - PREF. JUIZ DE FORA PORTAB 1 DIG</t>
  </si>
  <si>
    <t>RFN - PREF. MANAUS DIG 3 PORTAB</t>
  </si>
  <si>
    <t>2,1</t>
  </si>
  <si>
    <t>RFN - PREF. MANAUS DIG 2 PORTAB</t>
  </si>
  <si>
    <t>RFN - PREF. MANAUS DIG 1 PORTAB</t>
  </si>
  <si>
    <t>PREF OLINDA</t>
  </si>
  <si>
    <t>705481 - Tabela 1</t>
  </si>
  <si>
    <t>RFN - PREF OLINDA DIG PORTAB 1</t>
  </si>
  <si>
    <t>755073 - Tabela 3</t>
  </si>
  <si>
    <t>RFN - PREF PRAIA GRANDE DIG 3 PORTAB</t>
  </si>
  <si>
    <t>1,67</t>
  </si>
  <si>
    <t>RFN - PREF PRAIA GRANDE DIG 2 PORTAB</t>
  </si>
  <si>
    <t>755071 - Tabela 1</t>
  </si>
  <si>
    <t>RFN - PREF PRAIA GRANDE DIG 1 PORTAB</t>
  </si>
  <si>
    <t>RFN - PREF SAO JOSE SC PORTAB 1 DIG</t>
  </si>
  <si>
    <t>RFN - PREF SALVADOR DIG ESTATUT 7 PORTAB</t>
  </si>
  <si>
    <t>1,53</t>
  </si>
  <si>
    <t>RFN - PREF SALVADOR DIG EST 7 PORTAB</t>
  </si>
  <si>
    <t>RFN - PREF SALVADOR DIG ESTATUT 6 PORTAB</t>
  </si>
  <si>
    <t>RFN - PREF SALVADOR DIG EST 6 PORTAB</t>
  </si>
  <si>
    <t>RFN - PREF SALVADOR DIG ESTATUT 5 PORTAB</t>
  </si>
  <si>
    <t>RFN - PREF SALVADOR DIG EST 5 PORTAB</t>
  </si>
  <si>
    <t>RFN - PREF. SALVADOR DIG INAT 4 PORTAB</t>
  </si>
  <si>
    <t>705237 - Tabela 3</t>
  </si>
  <si>
    <t>RFN - PREF SALVADOR DIG ESTATUT 3 PORTAB</t>
  </si>
  <si>
    <t>705231 - Tabela 1</t>
  </si>
  <si>
    <t>RFN - PREF SALVADOR DIG EST 1 PORTAB</t>
  </si>
  <si>
    <t>1,6</t>
  </si>
  <si>
    <t>RFN - PREF SP DIG PORTAB 4</t>
  </si>
  <si>
    <t>1,19</t>
  </si>
  <si>
    <t>RFN - PREF SP DIG PORTAB 3</t>
  </si>
  <si>
    <t>RFN - PREF SP DIG PORTAB 2</t>
  </si>
  <si>
    <t>RFN - PREF SP DIG PORTAB 1</t>
  </si>
  <si>
    <t>PREF UBERABA</t>
  </si>
  <si>
    <t>725063 - Tabela 3</t>
  </si>
  <si>
    <t>RFN - PREF UBERABA DIG 3 PORTAB PLUS</t>
  </si>
  <si>
    <t>725062 - Tabela 2</t>
  </si>
  <si>
    <t>RFN - PREF UBERABA DIG 2 PORTAB PLUS</t>
  </si>
  <si>
    <t>RFN - PREF. ARACRUZ DIG 1 PORTAB</t>
  </si>
  <si>
    <t>RFN - PREF. BH DIG 2 PORTAB</t>
  </si>
  <si>
    <t>RFN - PREF. BH DIG 1 PORTAB</t>
  </si>
  <si>
    <t>RFN - PREF SOBRAL 6 DIG PORTAB</t>
  </si>
  <si>
    <t>1,56</t>
  </si>
  <si>
    <t>RFN - SEPLAG 4 DIG PORTABILIDADE</t>
  </si>
  <si>
    <t>1,34</t>
  </si>
  <si>
    <t>RFN - SEPLAG 3 DIG PORTABILIDADE</t>
  </si>
  <si>
    <t>RFN - SEPLAG 2 DIG PORTABILIDADE</t>
  </si>
  <si>
    <t>RFN - SEPLAG 1 DIG PORTABILIDADE</t>
  </si>
  <si>
    <t>RFN - SIAPE FED DIG PORTAB 3 PLUS</t>
  </si>
  <si>
    <t>RFN - SIAPE FED DIG PORTAB 2 PLUS</t>
  </si>
  <si>
    <t>RFN - SIAPE FED DIG PORTAB 1 PLUS</t>
  </si>
  <si>
    <t>TJ BAHIA</t>
  </si>
  <si>
    <t>715863 - Tabela 3</t>
  </si>
  <si>
    <t>RFN - TJ - BAHIA 3 DIG PORTAB</t>
  </si>
  <si>
    <t>RFN - TJ SP PORTAB 3 DIG SERVIDOR</t>
  </si>
  <si>
    <t>RFN - TJ SP PORTAB 3 DIG MAGISTRADO</t>
  </si>
  <si>
    <t>RFN - TJ SP PORTAB 2 DIG SERVIDOR</t>
  </si>
  <si>
    <t>901063 - Tabela 1</t>
  </si>
  <si>
    <t>RFN - TJ SP PORTAB 1 DIG SERVIDOR</t>
  </si>
  <si>
    <t>RFN - USP PORTAB 2 DIG</t>
  </si>
  <si>
    <t>1,89</t>
  </si>
  <si>
    <t>Possivel reassinatura</t>
  </si>
  <si>
    <t>745169 - Tabela 4</t>
  </si>
  <si>
    <t>RFN - GOV. SC DIG 4 PORTAB</t>
  </si>
  <si>
    <t>minport_%</t>
  </si>
  <si>
    <t>Máx. de minport_%</t>
  </si>
  <si>
    <t>Saldo Devedor Digitado</t>
  </si>
  <si>
    <t>765611 - Tabela 1</t>
  </si>
  <si>
    <t>RFN - BOMBEIROS 1 DIG PORTABILIDADE</t>
  </si>
  <si>
    <t>745168 - Tabela 3</t>
  </si>
  <si>
    <t>RFN - GOV. SC DIG 3 PORTAB</t>
  </si>
  <si>
    <t>1,4</t>
  </si>
  <si>
    <t>GOV SP - SEFAZ</t>
  </si>
  <si>
    <t>GOV SP - SPPREV</t>
  </si>
  <si>
    <t>Média de CARENCIA_FINAL</t>
  </si>
  <si>
    <t>1,8</t>
  </si>
  <si>
    <t>1,36</t>
  </si>
  <si>
    <t>PREF PERUIBE</t>
  </si>
  <si>
    <t>795543 - Tabela 3</t>
  </si>
  <si>
    <t>RFN - PREF. PERUIBE DIG 3 PORTAB</t>
  </si>
  <si>
    <t>TETO_COMERCIAL_%</t>
  </si>
  <si>
    <t>Máx. de TETO_COMERCIAL_%</t>
  </si>
  <si>
    <t>795721 - Tabela 1</t>
  </si>
  <si>
    <t>795722 - Tabela 2</t>
  </si>
  <si>
    <t>795723 - Tabela 3</t>
  </si>
  <si>
    <t>795724 - Tabela 4</t>
  </si>
  <si>
    <t>RFN-AERONAUTICA 4 DIG PORTAB</t>
  </si>
  <si>
    <t>795008 - Tabela 2</t>
  </si>
  <si>
    <t>RFN - GOV PR DIG PORTAB 2</t>
  </si>
  <si>
    <t>795009 - Tabela 3</t>
  </si>
  <si>
    <t>RFN - GOV PR DIG PORTAB 3</t>
  </si>
  <si>
    <t>PREF C GRANDE</t>
  </si>
  <si>
    <t>215000 - Tabela 1</t>
  </si>
  <si>
    <t>RFN - PREF CAMPO GRANDE PORTAB 1 DIG</t>
  </si>
  <si>
    <t>745098 - Tabela 2</t>
  </si>
  <si>
    <t>RFN - PREF FLORIPA PORTAB 2 DIG</t>
  </si>
  <si>
    <t>PREF SJ PINHAIS</t>
  </si>
  <si>
    <t xml:space="preserve">745681 - Tabela </t>
  </si>
  <si>
    <t>RFN - PREF SAO JOSE PINHAIS DIG PORTAB</t>
  </si>
  <si>
    <t>PREF SOROCABA</t>
  </si>
  <si>
    <t>785121 - Tabela 1</t>
  </si>
  <si>
    <t>RFN - PREF SOROCABA 1 DIG PORTAB</t>
  </si>
  <si>
    <t>1,71</t>
  </si>
  <si>
    <t xml:space="preserve">PREF. AQUIRAZ </t>
  </si>
  <si>
    <t>785621 - Tabela 1</t>
  </si>
  <si>
    <t>RFN - PREF AQUIRAZ PORTAB 1 DIG</t>
  </si>
  <si>
    <t>1,73</t>
  </si>
  <si>
    <t>785622 - Tabela 2</t>
  </si>
  <si>
    <t>RFN - PREF AQUIRAZ PORTAB 2 DIG</t>
  </si>
  <si>
    <t>785623 - Tabela 3</t>
  </si>
  <si>
    <t>RFN - PREF AQUIRAZ PORTAB 3 DIG</t>
  </si>
  <si>
    <t>785634 - Tabela 4</t>
  </si>
  <si>
    <t xml:space="preserve">RFN - PREF AQUIRAZ PORTAB 4 DIG </t>
  </si>
  <si>
    <t>785635 - Tabela 5</t>
  </si>
  <si>
    <t xml:space="preserve">RFN - PREF AQUIRAZ PORTAB 5 DIG </t>
  </si>
  <si>
    <t>785636 - Tabela 6</t>
  </si>
  <si>
    <t xml:space="preserve">RFN - PREF AQUIRAZ PORTAB 6 DIG </t>
  </si>
  <si>
    <t>Versão data 31/08/2023</t>
  </si>
  <si>
    <t>Não Libera Troco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</si>
</sst>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7" formatCode="&quot;R$&quot;\ #,##0.00;\-&quot;R$&quot;\ #,##0.00"/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0.0000%"/>
    <numFmt numFmtId="165" formatCode="&quot;R$&quot;\ #,##0.00"/>
    <numFmt numFmtId="166" formatCode="0.00000"/>
    <numFmt numFmtId="167" formatCode="[$-F400]h:mm:ss\ AM/PM"/>
    <numFmt numFmtId="168" formatCode="_-* #,##0_-;\-* #,##0_-;_-* &quot;-&quot;??_-;_-@_-"/>
    <numFmt numFmtId="169" formatCode="0.0000000%"/>
    <numFmt numFmtId="170" formatCode="0.000%"/>
    <numFmt numFmtId="171" formatCode="_-* #,##0.000000_-;\-* #,##0.000000_-;_-* &quot;-&quot;??_-;_-@_-"/>
    <numFmt numFmtId="172" formatCode="0.00000%"/>
    <numFmt numFmtId="173" formatCode="0.000000%"/>
    <numFmt numFmtId="174" formatCode="0.0000"/>
    <numFmt numFmtId="175" formatCode="0.0%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9" tint="-0.49998474074526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0"/>
      <color rgb="FF9C0006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b/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theme="0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7CE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-0.249977111117893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indexed="64"/>
      </left>
      <right/>
      <top/>
      <bottom/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/>
      <diagonal/>
    </border>
    <border>
      <left style="medium">
        <color theme="1"/>
      </left>
      <right/>
      <top/>
      <bottom/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/>
      <right/>
      <top style="medium">
        <color auto="1"/>
      </top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theme="0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theme="0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 style="medium">
        <color theme="1"/>
      </right>
      <top/>
      <bottom style="medium">
        <color indexed="64"/>
      </bottom>
      <diagonal/>
    </border>
    <border>
      <left style="medium">
        <color theme="1"/>
      </left>
      <right style="medium">
        <color theme="1"/>
      </right>
      <top style="medium">
        <color indexed="64"/>
      </top>
      <bottom/>
      <diagonal/>
    </border>
    <border>
      <left style="medium">
        <color theme="1"/>
      </left>
      <right style="medium">
        <color theme="1"/>
      </right>
      <top/>
      <bottom style="thin">
        <color indexed="64"/>
      </bottom>
      <diagonal/>
    </border>
    <border>
      <left style="medium">
        <color theme="1"/>
      </left>
      <right style="medium">
        <color theme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theme="1"/>
      </bottom>
      <diagonal/>
    </border>
    <border>
      <left/>
      <right style="thin">
        <color theme="0"/>
      </right>
      <top style="medium">
        <color indexed="64"/>
      </top>
      <bottom style="medium">
        <color theme="1"/>
      </bottom>
      <diagonal/>
    </border>
    <border>
      <left/>
      <right style="thin">
        <color theme="0"/>
      </right>
      <top style="medium">
        <color theme="1"/>
      </top>
      <bottom style="medium">
        <color theme="1"/>
      </bottom>
      <diagonal/>
    </border>
    <border>
      <left style="medium">
        <color auto="1"/>
      </left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 style="medium">
        <color auto="1"/>
      </left>
      <right/>
      <top style="thin">
        <color theme="0"/>
      </top>
      <bottom style="thin">
        <color theme="0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theme="0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/>
      <right/>
      <top style="medium">
        <color indexed="64"/>
      </top>
      <bottom style="medium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6" fillId="15" borderId="0" applyNumberFormat="0" applyBorder="0" applyAlignment="0" applyProtection="0"/>
  </cellStyleXfs>
  <cellXfs count="334">
    <xf numFmtId="0" fontId="0" fillId="0" borderId="0" xfId="0"/>
    <xf numFmtId="43" fontId="0" fillId="0" borderId="0" xfId="0" applyNumberFormat="1"/>
    <xf numFmtId="44" fontId="0" fillId="0" borderId="0" xfId="0" applyNumberFormat="1"/>
    <xf numFmtId="0" fontId="2" fillId="0" borderId="0" xfId="0" applyFont="1"/>
    <xf numFmtId="0" fontId="0" fillId="0" borderId="0" xfId="0" applyProtection="1">
      <protection locked="0"/>
    </xf>
    <xf numFmtId="8" fontId="0" fillId="0" borderId="0" xfId="0" applyNumberFormat="1"/>
    <xf numFmtId="14" fontId="0" fillId="0" borderId="0" xfId="0" applyNumberFormat="1"/>
    <xf numFmtId="0" fontId="0" fillId="0" borderId="0" xfId="0" applyAlignment="1" applyProtection="1">
      <alignment wrapText="1"/>
      <protection locked="0"/>
    </xf>
    <xf numFmtId="10" fontId="0" fillId="0" borderId="0" xfId="0" applyNumberFormat="1"/>
    <xf numFmtId="0" fontId="6" fillId="0" borderId="0" xfId="0" applyFont="1"/>
    <xf numFmtId="14" fontId="6" fillId="0" borderId="0" xfId="0" applyNumberFormat="1" applyFont="1"/>
    <xf numFmtId="44" fontId="5" fillId="0" borderId="0" xfId="0" applyNumberFormat="1" applyFont="1"/>
    <xf numFmtId="0" fontId="0" fillId="0" borderId="0" xfId="0" applyAlignment="1">
      <alignment horizontal="center"/>
    </xf>
    <xf numFmtId="14" fontId="6" fillId="0" borderId="0" xfId="1" applyNumberFormat="1" applyFont="1"/>
    <xf numFmtId="171" fontId="0" fillId="0" borderId="0" xfId="1" applyNumberFormat="1" applyFont="1"/>
    <xf numFmtId="43" fontId="0" fillId="0" borderId="0" xfId="1" applyFont="1"/>
    <xf numFmtId="0" fontId="2" fillId="2" borderId="14" xfId="0" applyFont="1" applyFill="1" applyBorder="1" applyAlignment="1">
      <alignment horizontal="center" vertical="center"/>
    </xf>
    <xf numFmtId="44" fontId="0" fillId="0" borderId="0" xfId="0" applyNumberFormat="1" applyProtection="1">
      <protection locked="0"/>
    </xf>
    <xf numFmtId="164" fontId="0" fillId="0" borderId="0" xfId="0" applyNumberFormat="1" applyProtection="1">
      <protection locked="0"/>
    </xf>
    <xf numFmtId="0" fontId="0" fillId="0" borderId="0" xfId="0" applyAlignment="1">
      <alignment vertical="center"/>
    </xf>
    <xf numFmtId="10" fontId="12" fillId="0" borderId="0" xfId="0" applyNumberFormat="1" applyFont="1" applyAlignment="1">
      <alignment horizontal="center"/>
    </xf>
    <xf numFmtId="170" fontId="0" fillId="0" borderId="0" xfId="0" applyNumberFormat="1" applyAlignment="1">
      <alignment horizontal="center"/>
    </xf>
    <xf numFmtId="8" fontId="0" fillId="0" borderId="0" xfId="0" applyNumberFormat="1" applyAlignment="1">
      <alignment horizontal="center"/>
    </xf>
    <xf numFmtId="0" fontId="4" fillId="0" borderId="0" xfId="0" applyFont="1" applyAlignment="1">
      <alignment horizontal="center"/>
    </xf>
    <xf numFmtId="10" fontId="4" fillId="0" borderId="0" xfId="3" applyNumberFormat="1" applyFont="1" applyAlignment="1">
      <alignment horizontal="center"/>
    </xf>
    <xf numFmtId="0" fontId="13" fillId="4" borderId="16" xfId="0" applyFont="1" applyFill="1" applyBorder="1" applyAlignment="1">
      <alignment horizontal="center" vertical="center" wrapText="1"/>
    </xf>
    <xf numFmtId="0" fontId="4" fillId="11" borderId="17" xfId="0" applyFont="1" applyFill="1" applyBorder="1" applyAlignment="1">
      <alignment horizontal="center" vertical="center" wrapText="1"/>
    </xf>
    <xf numFmtId="0" fontId="4" fillId="12" borderId="16" xfId="0" applyFont="1" applyFill="1" applyBorder="1" applyAlignment="1">
      <alignment horizontal="center" vertical="center" wrapText="1"/>
    </xf>
    <xf numFmtId="0" fontId="4" fillId="11" borderId="18" xfId="0" applyFont="1" applyFill="1" applyBorder="1" applyAlignment="1">
      <alignment horizontal="center" vertical="center"/>
    </xf>
    <xf numFmtId="10" fontId="4" fillId="12" borderId="19" xfId="3" applyNumberFormat="1" applyFont="1" applyFill="1" applyBorder="1" applyAlignment="1">
      <alignment horizontal="center"/>
    </xf>
    <xf numFmtId="10" fontId="4" fillId="12" borderId="20" xfId="3" applyNumberFormat="1" applyFont="1" applyFill="1" applyBorder="1" applyAlignment="1">
      <alignment horizontal="center"/>
    </xf>
    <xf numFmtId="0" fontId="4" fillId="11" borderId="21" xfId="0" applyFont="1" applyFill="1" applyBorder="1" applyAlignment="1">
      <alignment horizontal="center" vertical="center"/>
    </xf>
    <xf numFmtId="170" fontId="3" fillId="0" borderId="0" xfId="0" applyNumberFormat="1" applyFont="1" applyAlignment="1">
      <alignment horizontal="center"/>
    </xf>
    <xf numFmtId="0" fontId="14" fillId="0" borderId="0" xfId="0" applyFont="1" applyAlignment="1" applyProtection="1">
      <alignment wrapText="1"/>
      <protection locked="0"/>
    </xf>
    <xf numFmtId="172" fontId="0" fillId="0" borderId="0" xfId="0" applyNumberFormat="1"/>
    <xf numFmtId="0" fontId="4" fillId="14" borderId="22" xfId="0" applyFont="1" applyFill="1" applyBorder="1" applyAlignment="1" applyProtection="1">
      <alignment horizontal="center" vertical="center"/>
      <protection locked="0"/>
    </xf>
    <xf numFmtId="164" fontId="0" fillId="0" borderId="0" xfId="0" applyNumberFormat="1" applyAlignment="1">
      <alignment horizontal="center"/>
    </xf>
    <xf numFmtId="164" fontId="6" fillId="0" borderId="0" xfId="0" applyNumberFormat="1" applyFont="1" applyAlignment="1">
      <alignment horizontal="center"/>
    </xf>
    <xf numFmtId="0" fontId="0" fillId="0" borderId="0" xfId="0" applyAlignment="1" applyProtection="1">
      <alignment vertical="center"/>
      <protection locked="0"/>
    </xf>
    <xf numFmtId="0" fontId="8" fillId="2" borderId="24" xfId="0" applyFont="1" applyFill="1" applyBorder="1" applyAlignment="1">
      <alignment horizontal="center" vertical="center"/>
    </xf>
    <xf numFmtId="0" fontId="7" fillId="9" borderId="9" xfId="0" applyFont="1" applyFill="1" applyBorder="1"/>
    <xf numFmtId="0" fontId="6" fillId="10" borderId="24" xfId="0" applyFont="1" applyFill="1" applyBorder="1" applyAlignment="1">
      <alignment horizontal="center" vertical="center"/>
    </xf>
    <xf numFmtId="0" fontId="4" fillId="0" borderId="0" xfId="0" applyFont="1"/>
    <xf numFmtId="44" fontId="18" fillId="0" borderId="0" xfId="0" applyNumberFormat="1" applyFont="1"/>
    <xf numFmtId="1" fontId="4" fillId="3" borderId="24" xfId="0" applyNumberFormat="1" applyFont="1" applyFill="1" applyBorder="1" applyAlignment="1" applyProtection="1">
      <alignment horizontal="center"/>
      <protection locked="0" hidden="1"/>
    </xf>
    <xf numFmtId="8" fontId="4" fillId="3" borderId="24" xfId="0" applyNumberFormat="1" applyFont="1" applyFill="1" applyBorder="1" applyAlignment="1" applyProtection="1">
      <alignment horizontal="center"/>
      <protection locked="0" hidden="1"/>
    </xf>
    <xf numFmtId="1" fontId="19" fillId="3" borderId="2" xfId="0" applyNumberFormat="1" applyFont="1" applyFill="1" applyBorder="1" applyAlignment="1" applyProtection="1">
      <alignment horizontal="center"/>
      <protection locked="0"/>
    </xf>
    <xf numFmtId="10" fontId="0" fillId="0" borderId="0" xfId="3" applyNumberFormat="1" applyFont="1"/>
    <xf numFmtId="170" fontId="0" fillId="0" borderId="0" xfId="0" applyNumberFormat="1"/>
    <xf numFmtId="174" fontId="0" fillId="0" borderId="0" xfId="0" applyNumberFormat="1"/>
    <xf numFmtId="3" fontId="0" fillId="0" borderId="0" xfId="0" applyNumberFormat="1" applyAlignment="1">
      <alignment horizontal="center" vertical="center"/>
    </xf>
    <xf numFmtId="3" fontId="0" fillId="0" borderId="0" xfId="3" applyNumberFormat="1" applyFont="1" applyAlignment="1">
      <alignment horizontal="center" vertical="center"/>
    </xf>
    <xf numFmtId="170" fontId="0" fillId="0" borderId="0" xfId="0" applyNumberFormat="1" applyAlignment="1" applyProtection="1">
      <alignment horizontal="center"/>
      <protection hidden="1"/>
    </xf>
    <xf numFmtId="170" fontId="2" fillId="2" borderId="28" xfId="0" applyNumberFormat="1" applyFont="1" applyFill="1" applyBorder="1" applyAlignment="1" applyProtection="1">
      <alignment horizontal="center"/>
      <protection hidden="1"/>
    </xf>
    <xf numFmtId="170" fontId="2" fillId="2" borderId="28" xfId="0" applyNumberFormat="1" applyFont="1" applyFill="1" applyBorder="1" applyProtection="1">
      <protection hidden="1"/>
    </xf>
    <xf numFmtId="0" fontId="6" fillId="10" borderId="24" xfId="0" applyFont="1" applyFill="1" applyBorder="1" applyAlignment="1" applyProtection="1">
      <alignment horizontal="center" vertical="center"/>
      <protection hidden="1"/>
    </xf>
    <xf numFmtId="0" fontId="0" fillId="10" borderId="24" xfId="0" applyFill="1" applyBorder="1" applyAlignment="1" applyProtection="1">
      <alignment vertical="center"/>
      <protection hidden="1"/>
    </xf>
    <xf numFmtId="10" fontId="0" fillId="10" borderId="24" xfId="3" applyNumberFormat="1" applyFont="1" applyFill="1" applyBorder="1" applyAlignment="1" applyProtection="1">
      <alignment horizontal="center" vertical="center"/>
      <protection hidden="1"/>
    </xf>
    <xf numFmtId="166" fontId="6" fillId="10" borderId="24" xfId="0" applyNumberFormat="1" applyFont="1" applyFill="1" applyBorder="1" applyAlignment="1" applyProtection="1">
      <alignment horizontal="center" vertical="center"/>
      <protection hidden="1"/>
    </xf>
    <xf numFmtId="165" fontId="0" fillId="10" borderId="24" xfId="0" applyNumberFormat="1" applyFill="1" applyBorder="1" applyAlignment="1" applyProtection="1">
      <alignment vertical="center"/>
      <protection hidden="1"/>
    </xf>
    <xf numFmtId="44" fontId="0" fillId="10" borderId="24" xfId="2" applyFont="1" applyFill="1" applyBorder="1" applyAlignment="1" applyProtection="1">
      <alignment vertical="center"/>
      <protection hidden="1"/>
    </xf>
    <xf numFmtId="0" fontId="11" fillId="0" borderId="24" xfId="0" applyFont="1" applyBorder="1" applyAlignment="1" applyProtection="1">
      <alignment horizontal="center" vertical="center" wrapText="1"/>
      <protection hidden="1"/>
    </xf>
    <xf numFmtId="8" fontId="0" fillId="0" borderId="0" xfId="0" applyNumberFormat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65" fontId="4" fillId="3" borderId="2" xfId="2" applyNumberFormat="1" applyFont="1" applyFill="1" applyBorder="1" applyAlignment="1" applyProtection="1">
      <alignment horizontal="center" vertical="center"/>
      <protection locked="0"/>
    </xf>
    <xf numFmtId="165" fontId="4" fillId="3" borderId="1" xfId="2" applyNumberFormat="1" applyFont="1" applyFill="1" applyBorder="1" applyAlignment="1" applyProtection="1">
      <alignment horizontal="center" vertical="center"/>
      <protection locked="0"/>
    </xf>
    <xf numFmtId="1" fontId="4" fillId="3" borderId="1" xfId="0" applyNumberFormat="1" applyFont="1" applyFill="1" applyBorder="1" applyAlignment="1" applyProtection="1">
      <alignment horizontal="center" vertical="center"/>
      <protection locked="0"/>
    </xf>
    <xf numFmtId="170" fontId="18" fillId="0" borderId="0" xfId="3" applyNumberFormat="1" applyFont="1"/>
    <xf numFmtId="0" fontId="2" fillId="2" borderId="24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44" fontId="0" fillId="0" borderId="0" xfId="0" applyNumberFormat="1" applyAlignment="1">
      <alignment vertical="center"/>
    </xf>
    <xf numFmtId="8" fontId="4" fillId="0" borderId="35" xfId="0" applyNumberFormat="1" applyFont="1" applyBorder="1" applyAlignment="1" applyProtection="1">
      <alignment horizontal="center" vertical="center"/>
      <protection hidden="1"/>
    </xf>
    <xf numFmtId="8" fontId="4" fillId="3" borderId="37" xfId="0" applyNumberFormat="1" applyFont="1" applyFill="1" applyBorder="1" applyAlignment="1" applyProtection="1">
      <alignment horizontal="center" vertical="center"/>
      <protection hidden="1"/>
    </xf>
    <xf numFmtId="44" fontId="0" fillId="0" borderId="0" xfId="2" applyFont="1"/>
    <xf numFmtId="10" fontId="6" fillId="10" borderId="24" xfId="0" applyNumberFormat="1" applyFont="1" applyFill="1" applyBorder="1" applyAlignment="1" applyProtection="1">
      <alignment horizontal="center" vertical="center"/>
      <protection hidden="1"/>
    </xf>
    <xf numFmtId="44" fontId="6" fillId="10" borderId="24" xfId="0" applyNumberFormat="1" applyFont="1" applyFill="1" applyBorder="1" applyAlignment="1" applyProtection="1">
      <alignment vertical="center"/>
      <protection hidden="1"/>
    </xf>
    <xf numFmtId="44" fontId="6" fillId="10" borderId="24" xfId="2" applyFont="1" applyFill="1" applyBorder="1" applyAlignment="1" applyProtection="1">
      <alignment vertical="center"/>
      <protection hidden="1"/>
    </xf>
    <xf numFmtId="10" fontId="2" fillId="9" borderId="25" xfId="0" applyNumberFormat="1" applyFont="1" applyFill="1" applyBorder="1" applyAlignment="1" applyProtection="1">
      <alignment horizontal="center"/>
      <protection hidden="1"/>
    </xf>
    <xf numFmtId="170" fontId="5" fillId="0" borderId="0" xfId="0" applyNumberFormat="1" applyFont="1"/>
    <xf numFmtId="0" fontId="0" fillId="0" borderId="0" xfId="0" applyAlignment="1" applyProtection="1">
      <alignment horizontal="center"/>
      <protection locked="0"/>
    </xf>
    <xf numFmtId="8" fontId="11" fillId="3" borderId="24" xfId="0" applyNumberFormat="1" applyFont="1" applyFill="1" applyBorder="1" applyAlignment="1" applyProtection="1">
      <alignment horizontal="center"/>
      <protection locked="0" hidden="1"/>
    </xf>
    <xf numFmtId="10" fontId="2" fillId="2" borderId="28" xfId="0" applyNumberFormat="1" applyFont="1" applyFill="1" applyBorder="1" applyAlignment="1" applyProtection="1">
      <alignment horizontal="center"/>
      <protection hidden="1"/>
    </xf>
    <xf numFmtId="10" fontId="0" fillId="0" borderId="0" xfId="0" applyNumberFormat="1" applyAlignment="1">
      <alignment horizontal="center"/>
    </xf>
    <xf numFmtId="8" fontId="6" fillId="3" borderId="2" xfId="0" applyNumberFormat="1" applyFont="1" applyFill="1" applyBorder="1" applyAlignment="1" applyProtection="1">
      <alignment horizontal="center" vertical="center"/>
      <protection hidden="1"/>
    </xf>
    <xf numFmtId="0" fontId="4" fillId="11" borderId="28" xfId="0" applyFont="1" applyFill="1" applyBorder="1" applyAlignment="1" applyProtection="1">
      <alignment horizontal="center" vertical="center"/>
      <protection hidden="1"/>
    </xf>
    <xf numFmtId="0" fontId="4" fillId="11" borderId="24" xfId="0" applyFont="1" applyFill="1" applyBorder="1" applyAlignment="1" applyProtection="1">
      <alignment horizontal="center" vertical="center"/>
      <protection hidden="1"/>
    </xf>
    <xf numFmtId="0" fontId="4" fillId="11" borderId="18" xfId="0" applyFont="1" applyFill="1" applyBorder="1" applyAlignment="1" applyProtection="1">
      <alignment horizontal="center" vertical="center"/>
      <protection hidden="1"/>
    </xf>
    <xf numFmtId="0" fontId="4" fillId="11" borderId="0" xfId="0" applyFont="1" applyFill="1" applyAlignment="1" applyProtection="1">
      <alignment horizontal="center" vertical="center"/>
      <protection hidden="1"/>
    </xf>
    <xf numFmtId="10" fontId="2" fillId="17" borderId="34" xfId="0" applyNumberFormat="1" applyFont="1" applyFill="1" applyBorder="1" applyAlignment="1" applyProtection="1">
      <alignment horizontal="center"/>
      <protection hidden="1"/>
    </xf>
    <xf numFmtId="37" fontId="2" fillId="17" borderId="30" xfId="1" applyNumberFormat="1" applyFont="1" applyFill="1" applyBorder="1" applyAlignment="1" applyProtection="1">
      <alignment horizontal="center"/>
      <protection hidden="1"/>
    </xf>
    <xf numFmtId="10" fontId="2" fillId="17" borderId="30" xfId="3" applyNumberFormat="1" applyFont="1" applyFill="1" applyBorder="1" applyAlignment="1" applyProtection="1">
      <alignment horizontal="center"/>
      <protection hidden="1"/>
    </xf>
    <xf numFmtId="165" fontId="2" fillId="2" borderId="28" xfId="1" applyNumberFormat="1" applyFont="1" applyFill="1" applyBorder="1" applyAlignment="1" applyProtection="1">
      <alignment horizontal="center"/>
      <protection hidden="1"/>
    </xf>
    <xf numFmtId="0" fontId="2" fillId="10" borderId="0" xfId="0" applyFont="1" applyFill="1" applyAlignment="1">
      <alignment horizontal="left" vertical="center"/>
    </xf>
    <xf numFmtId="10" fontId="2" fillId="10" borderId="0" xfId="3" applyNumberFormat="1" applyFont="1" applyFill="1" applyAlignment="1" applyProtection="1">
      <alignment horizontal="center" vertical="center"/>
      <protection hidden="1"/>
    </xf>
    <xf numFmtId="8" fontId="12" fillId="10" borderId="0" xfId="0" applyNumberFormat="1" applyFont="1" applyFill="1" applyAlignment="1">
      <alignment vertical="center"/>
    </xf>
    <xf numFmtId="44" fontId="5" fillId="0" borderId="46" xfId="0" applyNumberFormat="1" applyFont="1" applyBorder="1"/>
    <xf numFmtId="0" fontId="8" fillId="10" borderId="48" xfId="0" applyFont="1" applyFill="1" applyBorder="1" applyAlignment="1">
      <alignment horizontal="center" vertical="center"/>
    </xf>
    <xf numFmtId="8" fontId="8" fillId="10" borderId="49" xfId="0" applyNumberFormat="1" applyFont="1" applyFill="1" applyBorder="1" applyAlignment="1" applyProtection="1">
      <alignment horizontal="center" vertical="center"/>
      <protection hidden="1"/>
    </xf>
    <xf numFmtId="170" fontId="4" fillId="10" borderId="37" xfId="3" applyNumberFormat="1" applyFont="1" applyFill="1" applyBorder="1" applyAlignment="1" applyProtection="1">
      <alignment horizontal="center" vertical="center"/>
      <protection hidden="1"/>
    </xf>
    <xf numFmtId="8" fontId="8" fillId="10" borderId="50" xfId="0" applyNumberFormat="1" applyFont="1" applyFill="1" applyBorder="1" applyAlignment="1" applyProtection="1">
      <alignment horizontal="center" vertical="center"/>
      <protection hidden="1"/>
    </xf>
    <xf numFmtId="44" fontId="1" fillId="10" borderId="24" xfId="2" applyFont="1" applyFill="1" applyBorder="1" applyAlignment="1" applyProtection="1">
      <alignment vertical="center"/>
      <protection hidden="1"/>
    </xf>
    <xf numFmtId="44" fontId="17" fillId="15" borderId="3" xfId="4" applyNumberFormat="1" applyFont="1" applyBorder="1" applyAlignment="1" applyProtection="1">
      <alignment horizontal="center" vertical="center"/>
      <protection hidden="1"/>
    </xf>
    <xf numFmtId="0" fontId="11" fillId="0" borderId="16" xfId="0" applyFont="1" applyBorder="1" applyAlignment="1" applyProtection="1">
      <alignment horizontal="center" vertical="center" wrapText="1"/>
      <protection hidden="1"/>
    </xf>
    <xf numFmtId="44" fontId="17" fillId="15" borderId="24" xfId="4" applyNumberFormat="1" applyFont="1" applyBorder="1" applyAlignment="1" applyProtection="1">
      <alignment horizontal="center" vertical="center"/>
      <protection hidden="1"/>
    </xf>
    <xf numFmtId="0" fontId="0" fillId="0" borderId="0" xfId="0" applyAlignment="1">
      <alignment wrapText="1"/>
    </xf>
    <xf numFmtId="0" fontId="4" fillId="0" borderId="0" xfId="0" applyFont="1" applyAlignment="1">
      <alignment horizontal="center" wrapText="1"/>
    </xf>
    <xf numFmtId="10" fontId="0" fillId="0" borderId="0" xfId="3" applyNumberFormat="1" applyFont="1" applyAlignment="1">
      <alignment wrapText="1"/>
    </xf>
    <xf numFmtId="0" fontId="2" fillId="2" borderId="24" xfId="0" applyFont="1" applyFill="1" applyBorder="1" applyAlignment="1">
      <alignment horizontal="center" vertical="center" wrapText="1"/>
    </xf>
    <xf numFmtId="10" fontId="0" fillId="0" borderId="0" xfId="0" applyNumberFormat="1" applyAlignment="1">
      <alignment vertical="center"/>
    </xf>
    <xf numFmtId="44" fontId="9" fillId="0" borderId="0" xfId="0" applyNumberFormat="1" applyFont="1" applyAlignment="1">
      <alignment vertical="center"/>
    </xf>
    <xf numFmtId="43" fontId="9" fillId="0" borderId="0" xfId="1" applyFont="1" applyAlignment="1">
      <alignment vertical="center"/>
    </xf>
    <xf numFmtId="43" fontId="0" fillId="0" borderId="0" xfId="1" applyFont="1" applyAlignment="1" applyProtection="1">
      <alignment vertical="center"/>
    </xf>
    <xf numFmtId="164" fontId="0" fillId="0" borderId="0" xfId="3" applyNumberFormat="1" applyFont="1" applyAlignment="1" applyProtection="1">
      <alignment vertical="center"/>
      <protection locked="0"/>
    </xf>
    <xf numFmtId="44" fontId="0" fillId="0" borderId="0" xfId="0" applyNumberFormat="1" applyAlignment="1" applyProtection="1">
      <alignment vertical="center"/>
      <protection locked="0"/>
    </xf>
    <xf numFmtId="10" fontId="0" fillId="0" borderId="0" xfId="0" applyNumberFormat="1" applyAlignment="1" applyProtection="1">
      <alignment vertical="center"/>
      <protection locked="0"/>
    </xf>
    <xf numFmtId="43" fontId="0" fillId="0" borderId="0" xfId="1" applyFont="1" applyAlignment="1" applyProtection="1">
      <alignment vertical="center"/>
      <protection locked="0"/>
    </xf>
    <xf numFmtId="164" fontId="0" fillId="0" borderId="0" xfId="0" applyNumberFormat="1" applyAlignment="1" applyProtection="1">
      <alignment vertical="center"/>
      <protection locked="0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left"/>
    </xf>
    <xf numFmtId="10" fontId="12" fillId="0" borderId="0" xfId="3" applyNumberFormat="1" applyFont="1" applyAlignment="1">
      <alignment vertical="center"/>
    </xf>
    <xf numFmtId="10" fontId="4" fillId="16" borderId="41" xfId="3" applyNumberFormat="1" applyFont="1" applyFill="1" applyBorder="1" applyAlignment="1" applyProtection="1">
      <alignment horizontal="center"/>
      <protection hidden="1"/>
    </xf>
    <xf numFmtId="10" fontId="4" fillId="16" borderId="42" xfId="3" applyNumberFormat="1" applyFont="1" applyFill="1" applyBorder="1" applyAlignment="1" applyProtection="1">
      <alignment horizontal="center"/>
      <protection hidden="1"/>
    </xf>
    <xf numFmtId="7" fontId="4" fillId="3" borderId="24" xfId="2" applyNumberFormat="1" applyFont="1" applyFill="1" applyBorder="1" applyAlignment="1" applyProtection="1">
      <alignment horizontal="center" vertical="center"/>
      <protection locked="0" hidden="1"/>
    </xf>
    <xf numFmtId="0" fontId="20" fillId="9" borderId="52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12" fillId="0" borderId="0" xfId="0" applyFont="1" applyAlignment="1" applyProtection="1">
      <alignment horizontal="center"/>
      <protection hidden="1"/>
    </xf>
    <xf numFmtId="44" fontId="12" fillId="0" borderId="0" xfId="2" applyFont="1" applyProtection="1">
      <protection hidden="1"/>
    </xf>
    <xf numFmtId="44" fontId="12" fillId="0" borderId="0" xfId="0" applyNumberFormat="1" applyFont="1" applyProtection="1">
      <protection hidden="1"/>
    </xf>
    <xf numFmtId="165" fontId="19" fillId="4" borderId="24" xfId="0" applyNumberFormat="1" applyFont="1" applyFill="1" applyBorder="1" applyAlignment="1" applyProtection="1">
      <alignment horizontal="center" vertical="center" wrapText="1"/>
      <protection hidden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/>
    </xf>
    <xf numFmtId="170" fontId="0" fillId="0" borderId="0" xfId="3" applyNumberFormat="1" applyFont="1" applyAlignment="1">
      <alignment horizontal="center" vertical="center"/>
    </xf>
    <xf numFmtId="10" fontId="11" fillId="0" borderId="16" xfId="3" applyNumberFormat="1" applyFont="1" applyBorder="1" applyAlignment="1" applyProtection="1">
      <alignment horizontal="center" vertical="center" wrapText="1"/>
      <protection hidden="1"/>
    </xf>
    <xf numFmtId="0" fontId="20" fillId="2" borderId="16" xfId="0" applyFont="1" applyFill="1" applyBorder="1" applyAlignment="1">
      <alignment horizontal="center" vertical="center" wrapText="1"/>
    </xf>
    <xf numFmtId="170" fontId="0" fillId="0" borderId="0" xfId="3" applyNumberFormat="1" applyFont="1"/>
    <xf numFmtId="170" fontId="0" fillId="0" borderId="0" xfId="3" applyNumberFormat="1" applyFont="1" applyAlignment="1">
      <alignment wrapText="1"/>
    </xf>
    <xf numFmtId="43" fontId="0" fillId="0" borderId="0" xfId="1" applyFont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11" fillId="11" borderId="18" xfId="0" applyFont="1" applyFill="1" applyBorder="1" applyAlignment="1" applyProtection="1">
      <alignment horizontal="center" vertical="center" wrapText="1"/>
      <protection hidden="1"/>
    </xf>
    <xf numFmtId="0" fontId="11" fillId="11" borderId="17" xfId="0" applyFont="1" applyFill="1" applyBorder="1" applyAlignment="1" applyProtection="1">
      <alignment horizontal="center" vertical="center" wrapText="1"/>
      <protection hidden="1"/>
    </xf>
    <xf numFmtId="10" fontId="0" fillId="0" borderId="0" xfId="3" applyNumberFormat="1" applyFont="1" applyProtection="1">
      <protection hidden="1"/>
    </xf>
    <xf numFmtId="170" fontId="0" fillId="0" borderId="0" xfId="0" applyNumberFormat="1" applyProtection="1">
      <protection hidden="1"/>
    </xf>
    <xf numFmtId="0" fontId="0" fillId="0" borderId="0" xfId="0" applyProtection="1">
      <protection hidden="1"/>
    </xf>
    <xf numFmtId="10" fontId="12" fillId="0" borderId="0" xfId="3" applyNumberFormat="1" applyFont="1" applyAlignment="1" applyProtection="1">
      <alignment vertical="center"/>
      <protection hidden="1"/>
    </xf>
    <xf numFmtId="10" fontId="0" fillId="0" borderId="0" xfId="0" applyNumberFormat="1" applyAlignment="1" applyProtection="1">
      <alignment horizontal="center"/>
      <protection hidden="1"/>
    </xf>
    <xf numFmtId="0" fontId="11" fillId="7" borderId="0" xfId="0" applyFont="1" applyFill="1" applyAlignment="1">
      <alignment horizontal="center" vertical="center"/>
    </xf>
    <xf numFmtId="0" fontId="20" fillId="2" borderId="36" xfId="0" applyFont="1" applyFill="1" applyBorder="1" applyAlignment="1">
      <alignment horizontal="center" vertical="center"/>
    </xf>
    <xf numFmtId="0" fontId="4" fillId="14" borderId="23" xfId="0" applyFont="1" applyFill="1" applyBorder="1" applyAlignment="1">
      <alignment horizontal="center" vertical="center"/>
    </xf>
    <xf numFmtId="165" fontId="4" fillId="3" borderId="24" xfId="2" applyNumberFormat="1" applyFont="1" applyFill="1" applyBorder="1" applyAlignment="1" applyProtection="1">
      <alignment horizontal="center" vertical="center"/>
      <protection locked="0"/>
    </xf>
    <xf numFmtId="1" fontId="4" fillId="3" borderId="24" xfId="0" applyNumberFormat="1" applyFont="1" applyFill="1" applyBorder="1" applyAlignment="1" applyProtection="1">
      <alignment horizontal="center" vertical="center"/>
      <protection locked="0"/>
    </xf>
    <xf numFmtId="8" fontId="4" fillId="0" borderId="24" xfId="0" applyNumberFormat="1" applyFont="1" applyBorder="1" applyAlignment="1" applyProtection="1">
      <alignment horizontal="center" vertical="center"/>
      <protection hidden="1"/>
    </xf>
    <xf numFmtId="8" fontId="4" fillId="3" borderId="24" xfId="0" applyNumberFormat="1" applyFont="1" applyFill="1" applyBorder="1" applyAlignment="1" applyProtection="1">
      <alignment horizontal="center" vertical="center"/>
      <protection hidden="1"/>
    </xf>
    <xf numFmtId="170" fontId="4" fillId="10" borderId="24" xfId="3" applyNumberFormat="1" applyFont="1" applyFill="1" applyBorder="1" applyAlignment="1" applyProtection="1">
      <alignment horizontal="center" vertical="center"/>
      <protection hidden="1"/>
    </xf>
    <xf numFmtId="43" fontId="0" fillId="0" borderId="0" xfId="1" applyFont="1" applyAlignment="1">
      <alignment horizontal="center"/>
    </xf>
    <xf numFmtId="0" fontId="0" fillId="0" borderId="0" xfId="0" applyAlignment="1">
      <alignment horizontal="center" wrapText="1"/>
    </xf>
    <xf numFmtId="43" fontId="0" fillId="0" borderId="0" xfId="1" applyFont="1" applyAlignment="1">
      <alignment horizontal="center" wrapText="1"/>
    </xf>
    <xf numFmtId="172" fontId="0" fillId="0" borderId="0" xfId="3" applyNumberFormat="1" applyFont="1" applyAlignment="1">
      <alignment horizontal="center"/>
    </xf>
    <xf numFmtId="0" fontId="0" fillId="0" borderId="0" xfId="0" applyAlignment="1">
      <alignment horizontal="left" wrapText="1"/>
    </xf>
    <xf numFmtId="3" fontId="0" fillId="0" borderId="0" xfId="0" applyNumberFormat="1" applyAlignment="1">
      <alignment horizontal="left" vertical="center"/>
    </xf>
    <xf numFmtId="0" fontId="0" fillId="0" borderId="0" xfId="0" pivotButton="1" applyAlignment="1">
      <alignment horizontal="left"/>
    </xf>
    <xf numFmtId="0" fontId="12" fillId="0" borderId="0" xfId="0" applyFont="1"/>
    <xf numFmtId="175" fontId="12" fillId="0" borderId="0" xfId="3" applyNumberFormat="1" applyFont="1"/>
    <xf numFmtId="10" fontId="12" fillId="0" borderId="0" xfId="3" applyNumberFormat="1" applyFont="1"/>
    <xf numFmtId="14" fontId="12" fillId="0" borderId="0" xfId="0" applyNumberFormat="1" applyFont="1"/>
    <xf numFmtId="167" fontId="12" fillId="0" borderId="0" xfId="1" applyNumberFormat="1" applyFont="1"/>
    <xf numFmtId="167" fontId="12" fillId="0" borderId="0" xfId="0" applyNumberFormat="1" applyFont="1"/>
    <xf numFmtId="2" fontId="12" fillId="0" borderId="0" xfId="0" applyNumberFormat="1" applyFont="1"/>
    <xf numFmtId="0" fontId="7" fillId="0" borderId="0" xfId="0" applyFont="1"/>
    <xf numFmtId="0" fontId="12" fillId="0" borderId="0" xfId="0" applyFont="1" applyAlignment="1" applyProtection="1">
      <alignment wrapText="1"/>
      <protection locked="0"/>
    </xf>
    <xf numFmtId="1" fontId="12" fillId="0" borderId="0" xfId="0" applyNumberFormat="1" applyFont="1"/>
    <xf numFmtId="10" fontId="12" fillId="0" borderId="0" xfId="0" applyNumberFormat="1" applyFont="1"/>
    <xf numFmtId="0" fontId="7" fillId="4" borderId="0" xfId="0" applyFont="1" applyFill="1"/>
    <xf numFmtId="168" fontId="12" fillId="0" borderId="0" xfId="1" applyNumberFormat="1" applyFont="1"/>
    <xf numFmtId="14" fontId="12" fillId="0" borderId="0" xfId="0" applyNumberFormat="1" applyFont="1" applyProtection="1">
      <protection locked="0"/>
    </xf>
    <xf numFmtId="165" fontId="2" fillId="3" borderId="1" xfId="2" applyNumberFormat="1" applyFont="1" applyFill="1" applyBorder="1" applyAlignment="1" applyProtection="1">
      <alignment horizontal="center" vertical="center"/>
      <protection locked="0"/>
    </xf>
    <xf numFmtId="0" fontId="12" fillId="0" borderId="0" xfId="0" applyFont="1" applyAlignment="1">
      <alignment vertical="center"/>
    </xf>
    <xf numFmtId="165" fontId="7" fillId="0" borderId="0" xfId="0" applyNumberFormat="1" applyFont="1" applyAlignment="1">
      <alignment vertical="center"/>
    </xf>
    <xf numFmtId="43" fontId="7" fillId="0" borderId="0" xfId="0" applyNumberFormat="1" applyFont="1" applyAlignment="1">
      <alignment vertical="center"/>
    </xf>
    <xf numFmtId="0" fontId="7" fillId="3" borderId="8" xfId="0" applyFont="1" applyFill="1" applyBorder="1" applyAlignment="1">
      <alignment vertical="center"/>
    </xf>
    <xf numFmtId="0" fontId="7" fillId="3" borderId="5" xfId="0" applyFont="1" applyFill="1" applyBorder="1" applyAlignment="1">
      <alignment vertical="center"/>
    </xf>
    <xf numFmtId="14" fontId="7" fillId="6" borderId="5" xfId="0" applyNumberFormat="1" applyFont="1" applyFill="1" applyBorder="1" applyAlignment="1" applyProtection="1">
      <alignment vertical="center"/>
      <protection locked="0"/>
    </xf>
    <xf numFmtId="0" fontId="7" fillId="0" borderId="0" xfId="0" applyFont="1" applyAlignment="1">
      <alignment vertical="center"/>
    </xf>
    <xf numFmtId="14" fontId="7" fillId="0" borderId="9" xfId="0" applyNumberFormat="1" applyFont="1" applyBorder="1" applyAlignment="1">
      <alignment vertical="center"/>
    </xf>
    <xf numFmtId="0" fontId="7" fillId="3" borderId="10" xfId="0" applyFont="1" applyFill="1" applyBorder="1" applyAlignment="1">
      <alignment vertical="center"/>
    </xf>
    <xf numFmtId="0" fontId="7" fillId="3" borderId="9" xfId="0" applyFont="1" applyFill="1" applyBorder="1" applyAlignment="1">
      <alignment vertical="center"/>
    </xf>
    <xf numFmtId="0" fontId="12" fillId="0" borderId="0" xfId="0" applyFont="1" applyAlignment="1">
      <alignment horizontal="center" vertical="center"/>
    </xf>
    <xf numFmtId="175" fontId="12" fillId="0" borderId="0" xfId="3" applyNumberFormat="1" applyFont="1" applyAlignment="1">
      <alignment vertical="center"/>
    </xf>
    <xf numFmtId="1" fontId="2" fillId="3" borderId="1" xfId="0" applyNumberFormat="1" applyFont="1" applyFill="1" applyBorder="1" applyAlignment="1" applyProtection="1">
      <alignment horizontal="center" vertical="center"/>
      <protection locked="0"/>
    </xf>
    <xf numFmtId="14" fontId="12" fillId="0" borderId="0" xfId="0" applyNumberFormat="1" applyFont="1" applyAlignment="1">
      <alignment vertical="center"/>
    </xf>
    <xf numFmtId="0" fontId="7" fillId="3" borderId="11" xfId="0" applyFont="1" applyFill="1" applyBorder="1" applyAlignment="1">
      <alignment vertical="center"/>
    </xf>
    <xf numFmtId="0" fontId="7" fillId="3" borderId="12" xfId="0" applyFont="1" applyFill="1" applyBorder="1" applyAlignment="1">
      <alignment vertical="center"/>
    </xf>
    <xf numFmtId="14" fontId="7" fillId="6" borderId="13" xfId="0" applyNumberFormat="1" applyFont="1" applyFill="1" applyBorder="1" applyAlignment="1" applyProtection="1">
      <alignment vertical="center"/>
      <protection locked="0"/>
    </xf>
    <xf numFmtId="14" fontId="7" fillId="0" borderId="1" xfId="0" applyNumberFormat="1" applyFont="1" applyBorder="1" applyAlignment="1">
      <alignment vertical="center"/>
    </xf>
    <xf numFmtId="165" fontId="2" fillId="3" borderId="2" xfId="2" applyNumberFormat="1" applyFont="1" applyFill="1" applyBorder="1" applyAlignment="1" applyProtection="1">
      <alignment horizontal="center" vertical="center"/>
      <protection locked="0"/>
    </xf>
    <xf numFmtId="8" fontId="12" fillId="0" borderId="0" xfId="0" applyNumberFormat="1" applyFont="1" applyAlignment="1">
      <alignment vertical="center"/>
    </xf>
    <xf numFmtId="4" fontId="7" fillId="6" borderId="1" xfId="0" applyNumberFormat="1" applyFont="1" applyFill="1" applyBorder="1" applyAlignment="1" applyProtection="1">
      <alignment vertical="center" wrapText="1"/>
      <protection locked="0"/>
    </xf>
    <xf numFmtId="4" fontId="7" fillId="0" borderId="1" xfId="0" applyNumberFormat="1" applyFont="1" applyBorder="1" applyAlignment="1">
      <alignment vertical="center" wrapText="1"/>
    </xf>
    <xf numFmtId="1" fontId="7" fillId="6" borderId="1" xfId="0" applyNumberFormat="1" applyFont="1" applyFill="1" applyBorder="1" applyAlignment="1" applyProtection="1">
      <alignment horizontal="right"/>
      <protection locked="0"/>
    </xf>
    <xf numFmtId="3" fontId="7" fillId="0" borderId="1" xfId="0" applyNumberFormat="1" applyFont="1" applyBorder="1" applyAlignment="1" applyProtection="1">
      <alignment horizontal="right"/>
      <protection hidden="1"/>
    </xf>
    <xf numFmtId="3" fontId="7" fillId="0" borderId="1" xfId="0" applyNumberFormat="1" applyFont="1" applyBorder="1" applyAlignment="1">
      <alignment vertical="center" wrapText="1"/>
    </xf>
    <xf numFmtId="1" fontId="20" fillId="3" borderId="2" xfId="0" applyNumberFormat="1" applyFont="1" applyFill="1" applyBorder="1" applyAlignment="1" applyProtection="1">
      <alignment horizontal="center"/>
      <protection locked="0"/>
    </xf>
    <xf numFmtId="170" fontId="7" fillId="8" borderId="1" xfId="0" applyNumberFormat="1" applyFont="1" applyFill="1" applyBorder="1" applyAlignment="1">
      <alignment horizontal="center"/>
    </xf>
    <xf numFmtId="164" fontId="7" fillId="8" borderId="1" xfId="0" quotePrefix="1" applyNumberFormat="1" applyFont="1" applyFill="1" applyBorder="1" applyAlignment="1">
      <alignment horizontal="center"/>
    </xf>
    <xf numFmtId="164" fontId="7" fillId="8" borderId="1" xfId="0" applyNumberFormat="1" applyFont="1" applyFill="1" applyBorder="1" applyAlignment="1">
      <alignment horizontal="center"/>
    </xf>
    <xf numFmtId="43" fontId="12" fillId="0" borderId="0" xfId="0" applyNumberFormat="1" applyFont="1"/>
    <xf numFmtId="14" fontId="7" fillId="0" borderId="0" xfId="0" applyNumberFormat="1" applyFont="1" applyAlignment="1">
      <alignment vertical="center"/>
    </xf>
    <xf numFmtId="4" fontId="7" fillId="0" borderId="0" xfId="0" applyNumberFormat="1" applyFont="1" applyAlignment="1">
      <alignment vertical="center"/>
    </xf>
    <xf numFmtId="43" fontId="7" fillId="0" borderId="0" xfId="1" applyFont="1" applyAlignment="1">
      <alignment vertical="center"/>
    </xf>
    <xf numFmtId="0" fontId="12" fillId="10" borderId="1" xfId="0" applyFont="1" applyFill="1" applyBorder="1" applyAlignment="1">
      <alignment horizontal="left"/>
    </xf>
    <xf numFmtId="0" fontId="12" fillId="0" borderId="47" xfId="0" applyFont="1" applyBorder="1" applyAlignment="1">
      <alignment vertical="center"/>
    </xf>
    <xf numFmtId="44" fontId="12" fillId="0" borderId="0" xfId="0" applyNumberFormat="1" applyFont="1" applyAlignment="1">
      <alignment vertical="center"/>
    </xf>
    <xf numFmtId="0" fontId="12" fillId="0" borderId="47" xfId="0" applyFont="1" applyBorder="1"/>
    <xf numFmtId="14" fontId="7" fillId="0" borderId="0" xfId="0" applyNumberFormat="1" applyFont="1"/>
    <xf numFmtId="43" fontId="7" fillId="0" borderId="0" xfId="1" applyFont="1"/>
    <xf numFmtId="43" fontId="7" fillId="0" borderId="0" xfId="0" applyNumberFormat="1" applyFont="1"/>
    <xf numFmtId="44" fontId="12" fillId="0" borderId="0" xfId="0" applyNumberFormat="1" applyFont="1"/>
    <xf numFmtId="0" fontId="7" fillId="0" borderId="0" xfId="0" applyFont="1" applyAlignment="1">
      <alignment horizontal="center" vertical="center"/>
    </xf>
    <xf numFmtId="44" fontId="2" fillId="0" borderId="0" xfId="0" applyNumberFormat="1" applyFont="1"/>
    <xf numFmtId="10" fontId="2" fillId="0" borderId="0" xfId="0" applyNumberFormat="1" applyFont="1"/>
    <xf numFmtId="0" fontId="8" fillId="0" borderId="0" xfId="0" applyFont="1"/>
    <xf numFmtId="14" fontId="8" fillId="0" borderId="0" xfId="0" applyNumberFormat="1" applyFont="1"/>
    <xf numFmtId="43" fontId="8" fillId="0" borderId="0" xfId="1" applyFont="1"/>
    <xf numFmtId="43" fontId="8" fillId="0" borderId="0" xfId="0" applyNumberFormat="1" applyFont="1"/>
    <xf numFmtId="171" fontId="12" fillId="0" borderId="0" xfId="1" applyNumberFormat="1" applyFont="1"/>
    <xf numFmtId="169" fontId="7" fillId="0" borderId="0" xfId="3" applyNumberFormat="1" applyFont="1" applyProtection="1"/>
    <xf numFmtId="170" fontId="7" fillId="0" borderId="0" xfId="0" applyNumberFormat="1" applyFont="1"/>
    <xf numFmtId="10" fontId="7" fillId="0" borderId="0" xfId="3" applyNumberFormat="1" applyFont="1" applyProtection="1"/>
    <xf numFmtId="43" fontId="12" fillId="0" borderId="0" xfId="1" applyFont="1"/>
    <xf numFmtId="0" fontId="12" fillId="0" borderId="0" xfId="0" applyFont="1" applyProtection="1">
      <protection locked="0"/>
    </xf>
    <xf numFmtId="0" fontId="12" fillId="0" borderId="0" xfId="0" applyFont="1" applyAlignment="1" applyProtection="1">
      <alignment horizontal="center"/>
      <protection locked="0"/>
    </xf>
    <xf numFmtId="10" fontId="12" fillId="0" borderId="0" xfId="3" applyNumberFormat="1" applyFont="1" applyAlignment="1"/>
    <xf numFmtId="167" fontId="12" fillId="0" borderId="0" xfId="1" applyNumberFormat="1" applyFont="1" applyProtection="1"/>
    <xf numFmtId="0" fontId="7" fillId="0" borderId="0" xfId="0" applyFont="1" applyAlignment="1">
      <alignment horizontal="center"/>
    </xf>
    <xf numFmtId="164" fontId="12" fillId="0" borderId="0" xfId="3" applyNumberFormat="1" applyFont="1" applyProtection="1"/>
    <xf numFmtId="168" fontId="7" fillId="8" borderId="1" xfId="1" quotePrefix="1" applyNumberFormat="1" applyFont="1" applyFill="1" applyBorder="1" applyAlignment="1">
      <alignment horizontal="center"/>
    </xf>
    <xf numFmtId="0" fontId="7" fillId="3" borderId="8" xfId="0" applyFont="1" applyFill="1" applyBorder="1"/>
    <xf numFmtId="0" fontId="7" fillId="3" borderId="5" xfId="0" applyFont="1" applyFill="1" applyBorder="1"/>
    <xf numFmtId="14" fontId="7" fillId="6" borderId="5" xfId="0" applyNumberFormat="1" applyFont="1" applyFill="1" applyBorder="1"/>
    <xf numFmtId="0" fontId="7" fillId="3" borderId="8" xfId="0" applyFont="1" applyFill="1" applyBorder="1" applyAlignment="1">
      <alignment horizontal="center"/>
    </xf>
    <xf numFmtId="14" fontId="7" fillId="0" borderId="9" xfId="0" applyNumberFormat="1" applyFont="1" applyBorder="1"/>
    <xf numFmtId="0" fontId="7" fillId="3" borderId="10" xfId="0" applyFont="1" applyFill="1" applyBorder="1"/>
    <xf numFmtId="0" fontId="7" fillId="3" borderId="9" xfId="0" applyFont="1" applyFill="1" applyBorder="1"/>
    <xf numFmtId="0" fontId="7" fillId="3" borderId="11" xfId="0" applyFont="1" applyFill="1" applyBorder="1"/>
    <xf numFmtId="0" fontId="7" fillId="3" borderId="12" xfId="0" applyFont="1" applyFill="1" applyBorder="1"/>
    <xf numFmtId="14" fontId="7" fillId="6" borderId="13" xfId="0" applyNumberFormat="1" applyFont="1" applyFill="1" applyBorder="1"/>
    <xf numFmtId="0" fontId="7" fillId="3" borderId="11" xfId="0" applyFont="1" applyFill="1" applyBorder="1" applyAlignment="1">
      <alignment horizontal="center"/>
    </xf>
    <xf numFmtId="14" fontId="7" fillId="0" borderId="1" xfId="0" applyNumberFormat="1" applyFont="1" applyBorder="1"/>
    <xf numFmtId="8" fontId="12" fillId="0" borderId="0" xfId="0" applyNumberFormat="1" applyFont="1"/>
    <xf numFmtId="4" fontId="7" fillId="6" borderId="1" xfId="0" applyNumberFormat="1" applyFont="1" applyFill="1" applyBorder="1" applyAlignment="1">
      <alignment vertical="center" wrapText="1"/>
    </xf>
    <xf numFmtId="1" fontId="7" fillId="6" borderId="1" xfId="0" applyNumberFormat="1" applyFont="1" applyFill="1" applyBorder="1" applyAlignment="1">
      <alignment horizontal="right"/>
    </xf>
    <xf numFmtId="0" fontId="12" fillId="0" borderId="0" xfId="0" applyFont="1" applyAlignment="1" applyProtection="1">
      <alignment vertical="center"/>
      <protection locked="0"/>
    </xf>
    <xf numFmtId="164" fontId="7" fillId="8" borderId="1" xfId="0" applyNumberFormat="1" applyFont="1" applyFill="1" applyBorder="1" applyAlignment="1">
      <alignment horizontal="center" vertical="center"/>
    </xf>
    <xf numFmtId="173" fontId="7" fillId="8" borderId="1" xfId="0" quotePrefix="1" applyNumberFormat="1" applyFont="1" applyFill="1" applyBorder="1" applyAlignment="1">
      <alignment horizontal="center" vertical="center"/>
    </xf>
    <xf numFmtId="170" fontId="7" fillId="8" borderId="1" xfId="0" applyNumberFormat="1" applyFont="1" applyFill="1" applyBorder="1" applyAlignment="1">
      <alignment horizontal="center" vertical="center"/>
    </xf>
    <xf numFmtId="0" fontId="12" fillId="0" borderId="0" xfId="0" applyFont="1" applyAlignment="1" applyProtection="1">
      <alignment horizontal="center" vertical="center"/>
      <protection locked="0"/>
    </xf>
    <xf numFmtId="165" fontId="7" fillId="0" borderId="0" xfId="0" applyNumberFormat="1" applyFont="1"/>
    <xf numFmtId="43" fontId="25" fillId="0" borderId="0" xfId="1" applyFont="1"/>
    <xf numFmtId="4" fontId="7" fillId="0" borderId="0" xfId="0" applyNumberFormat="1" applyFont="1"/>
    <xf numFmtId="43" fontId="7" fillId="0" borderId="0" xfId="0" applyNumberFormat="1" applyFont="1" applyAlignment="1">
      <alignment horizontal="center"/>
    </xf>
    <xf numFmtId="43" fontId="7" fillId="0" borderId="0" xfId="1" applyFont="1" applyProtection="1"/>
    <xf numFmtId="43" fontId="12" fillId="0" borderId="0" xfId="0" applyNumberFormat="1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14" fontId="7" fillId="0" borderId="0" xfId="0" applyNumberFormat="1" applyFont="1" applyAlignment="1">
      <alignment vertical="center" wrapText="1"/>
    </xf>
    <xf numFmtId="43" fontId="7" fillId="0" borderId="0" xfId="1" applyFont="1" applyAlignment="1" applyProtection="1">
      <alignment vertical="center" wrapText="1"/>
    </xf>
    <xf numFmtId="0" fontId="7" fillId="0" borderId="0" xfId="0" applyFont="1" applyAlignment="1">
      <alignment horizontal="center" vertical="center" wrapText="1"/>
    </xf>
    <xf numFmtId="43" fontId="7" fillId="0" borderId="0" xfId="0" applyNumberFormat="1" applyFont="1" applyAlignment="1">
      <alignment vertical="center" wrapText="1"/>
    </xf>
    <xf numFmtId="0" fontId="12" fillId="0" borderId="0" xfId="0" applyFont="1" applyAlignment="1">
      <alignment horizontal="center" vertical="center" wrapText="1"/>
    </xf>
    <xf numFmtId="10" fontId="12" fillId="0" borderId="0" xfId="3" applyNumberFormat="1" applyFont="1" applyAlignment="1">
      <alignment vertical="center" wrapText="1"/>
    </xf>
    <xf numFmtId="43" fontId="7" fillId="0" borderId="0" xfId="1" applyFont="1" applyAlignment="1" applyProtection="1">
      <alignment vertical="center"/>
    </xf>
    <xf numFmtId="0" fontId="12" fillId="0" borderId="0" xfId="0" pivotButton="1" applyFont="1"/>
    <xf numFmtId="8" fontId="12" fillId="0" borderId="0" xfId="0" applyNumberFormat="1" applyFont="1" applyAlignment="1" applyProtection="1">
      <alignment horizontal="center" vertical="center"/>
      <protection locked="0"/>
    </xf>
    <xf numFmtId="10" fontId="12" fillId="0" borderId="0" xfId="0" applyNumberFormat="1" applyFont="1" applyAlignment="1">
      <alignment horizontal="center" vertical="center"/>
    </xf>
    <xf numFmtId="14" fontId="7" fillId="0" borderId="0" xfId="0" applyNumberFormat="1" applyFont="1" applyAlignment="1">
      <alignment horizontal="center" vertical="center"/>
    </xf>
    <xf numFmtId="43" fontId="7" fillId="0" borderId="0" xfId="1" applyFont="1" applyAlignment="1" applyProtection="1">
      <alignment horizontal="center" vertical="center"/>
    </xf>
    <xf numFmtId="43" fontId="7" fillId="0" borderId="0" xfId="0" applyNumberFormat="1" applyFont="1" applyAlignment="1">
      <alignment horizontal="center" vertical="center"/>
    </xf>
    <xf numFmtId="171" fontId="12" fillId="0" borderId="1" xfId="1" applyNumberFormat="1" applyFont="1" applyBorder="1" applyAlignment="1">
      <alignment horizontal="center" vertical="center"/>
    </xf>
    <xf numFmtId="10" fontId="12" fillId="10" borderId="1" xfId="0" applyNumberFormat="1" applyFont="1" applyFill="1" applyBorder="1" applyAlignment="1">
      <alignment horizontal="center"/>
    </xf>
    <xf numFmtId="170" fontId="12" fillId="0" borderId="0" xfId="0" applyNumberFormat="1" applyFont="1" applyAlignment="1">
      <alignment horizontal="center" vertical="center"/>
    </xf>
    <xf numFmtId="14" fontId="7" fillId="0" borderId="0" xfId="0" applyNumberFormat="1" applyFont="1" applyAlignment="1">
      <alignment horizontal="center"/>
    </xf>
    <xf numFmtId="43" fontId="7" fillId="0" borderId="0" xfId="1" applyFont="1" applyAlignment="1" applyProtection="1">
      <alignment horizontal="center"/>
    </xf>
    <xf numFmtId="44" fontId="12" fillId="0" borderId="0" xfId="0" applyNumberFormat="1" applyFont="1" applyAlignment="1" applyProtection="1">
      <alignment vertical="center"/>
      <protection locked="0"/>
    </xf>
    <xf numFmtId="10" fontId="12" fillId="0" borderId="0" xfId="0" applyNumberFormat="1" applyFont="1" applyAlignment="1">
      <alignment vertical="center"/>
    </xf>
    <xf numFmtId="44" fontId="12" fillId="0" borderId="0" xfId="0" applyNumberFormat="1" applyFont="1" applyProtection="1">
      <protection locked="0"/>
    </xf>
    <xf numFmtId="0" fontId="7" fillId="0" borderId="0" xfId="0" applyFont="1" applyProtection="1">
      <protection locked="0"/>
    </xf>
    <xf numFmtId="9" fontId="7" fillId="0" borderId="0" xfId="3" applyFont="1" applyProtection="1"/>
    <xf numFmtId="10" fontId="7" fillId="0" borderId="0" xfId="3" applyNumberFormat="1" applyFont="1" applyAlignment="1" applyProtection="1">
      <alignment horizontal="center"/>
    </xf>
    <xf numFmtId="170" fontId="7" fillId="0" borderId="0" xfId="0" applyNumberFormat="1" applyFont="1" applyAlignment="1">
      <alignment horizont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17" borderId="3" xfId="0" applyFont="1" applyFill="1" applyBorder="1" applyAlignment="1" applyProtection="1">
      <alignment horizontal="center" vertical="center"/>
      <protection locked="0"/>
    </xf>
    <xf numFmtId="0" fontId="2" fillId="17" borderId="28" xfId="0" applyFont="1" applyFill="1" applyBorder="1" applyAlignment="1" applyProtection="1">
      <alignment horizontal="center" vertical="center"/>
      <protection locked="0"/>
    </xf>
    <xf numFmtId="0" fontId="13" fillId="4" borderId="40" xfId="0" applyFont="1" applyFill="1" applyBorder="1" applyAlignment="1" applyProtection="1">
      <alignment horizontal="center" vertical="center" wrapText="1"/>
      <protection hidden="1"/>
    </xf>
    <xf numFmtId="0" fontId="13" fillId="4" borderId="39" xfId="0" applyFont="1" applyFill="1" applyBorder="1" applyAlignment="1" applyProtection="1">
      <alignment horizontal="center" vertical="center" wrapText="1"/>
      <protection hidden="1"/>
    </xf>
    <xf numFmtId="10" fontId="4" fillId="16" borderId="38" xfId="3" applyNumberFormat="1" applyFont="1" applyFill="1" applyBorder="1" applyAlignment="1">
      <alignment horizontal="center" wrapText="1"/>
    </xf>
    <xf numFmtId="10" fontId="4" fillId="16" borderId="39" xfId="3" applyNumberFormat="1" applyFont="1" applyFill="1" applyBorder="1" applyAlignment="1">
      <alignment horizontal="center" wrapText="1"/>
    </xf>
    <xf numFmtId="0" fontId="19" fillId="0" borderId="4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20" fillId="2" borderId="17" xfId="0" applyFont="1" applyFill="1" applyBorder="1" applyAlignment="1">
      <alignment horizontal="center" vertical="center"/>
    </xf>
    <xf numFmtId="0" fontId="20" fillId="2" borderId="45" xfId="0" applyFont="1" applyFill="1" applyBorder="1" applyAlignment="1">
      <alignment horizontal="center" vertical="center"/>
    </xf>
    <xf numFmtId="0" fontId="15" fillId="13" borderId="3" xfId="0" applyFont="1" applyFill="1" applyBorder="1" applyAlignment="1" applyProtection="1">
      <alignment horizontal="center" vertical="center"/>
      <protection locked="0"/>
    </xf>
    <xf numFmtId="0" fontId="15" fillId="13" borderId="27" xfId="0" applyFont="1" applyFill="1" applyBorder="1" applyAlignment="1" applyProtection="1">
      <alignment horizontal="center" vertical="center"/>
      <protection locked="0"/>
    </xf>
    <xf numFmtId="0" fontId="15" fillId="13" borderId="28" xfId="0" applyFont="1" applyFill="1" applyBorder="1" applyAlignment="1" applyProtection="1">
      <alignment horizontal="center" vertical="center"/>
      <protection locked="0"/>
    </xf>
    <xf numFmtId="0" fontId="10" fillId="2" borderId="32" xfId="0" applyFont="1" applyFill="1" applyBorder="1" applyAlignment="1">
      <alignment horizontal="center" vertical="center"/>
    </xf>
    <xf numFmtId="0" fontId="10" fillId="2" borderId="33" xfId="0" applyFont="1" applyFill="1" applyBorder="1" applyAlignment="1">
      <alignment horizontal="center" vertical="center"/>
    </xf>
    <xf numFmtId="14" fontId="2" fillId="2" borderId="15" xfId="0" applyNumberFormat="1" applyFont="1" applyFill="1" applyBorder="1" applyAlignment="1" applyProtection="1">
      <alignment horizontal="center" vertical="center"/>
      <protection hidden="1"/>
    </xf>
    <xf numFmtId="14" fontId="2" fillId="2" borderId="0" xfId="0" applyNumberFormat="1" applyFont="1" applyFill="1" applyAlignment="1" applyProtection="1">
      <alignment horizontal="center" vertical="center"/>
      <protection hidden="1"/>
    </xf>
    <xf numFmtId="0" fontId="2" fillId="2" borderId="3" xfId="0" applyFont="1" applyFill="1" applyBorder="1" applyAlignment="1">
      <alignment horizontal="center"/>
    </xf>
    <xf numFmtId="0" fontId="2" fillId="2" borderId="27" xfId="0" applyFont="1" applyFill="1" applyBorder="1" applyAlignment="1">
      <alignment horizontal="center"/>
    </xf>
    <xf numFmtId="1" fontId="7" fillId="7" borderId="1" xfId="0" applyNumberFormat="1" applyFont="1" applyFill="1" applyBorder="1" applyAlignment="1">
      <alignment horizontal="left"/>
    </xf>
    <xf numFmtId="0" fontId="20" fillId="2" borderId="43" xfId="0" applyFont="1" applyFill="1" applyBorder="1" applyAlignment="1">
      <alignment horizontal="center" vertical="center"/>
    </xf>
    <xf numFmtId="0" fontId="20" fillId="2" borderId="44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1" fontId="7" fillId="7" borderId="1" xfId="0" applyNumberFormat="1" applyFont="1" applyFill="1" applyBorder="1" applyAlignment="1">
      <alignment horizontal="left" vertical="center"/>
    </xf>
    <xf numFmtId="0" fontId="7" fillId="5" borderId="2" xfId="0" applyFont="1" applyFill="1" applyBorder="1" applyAlignment="1">
      <alignment horizontal="center" vertical="center"/>
    </xf>
    <xf numFmtId="8" fontId="2" fillId="0" borderId="0" xfId="0" applyNumberFormat="1" applyFont="1" applyAlignment="1">
      <alignment horizontal="center" vertical="center"/>
    </xf>
    <xf numFmtId="0" fontId="15" fillId="13" borderId="3" xfId="0" applyFont="1" applyFill="1" applyBorder="1" applyAlignment="1">
      <alignment horizontal="center" vertical="center"/>
    </xf>
    <xf numFmtId="0" fontId="15" fillId="13" borderId="27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left" vertical="center"/>
    </xf>
    <xf numFmtId="0" fontId="8" fillId="2" borderId="5" xfId="0" applyFont="1" applyFill="1" applyBorder="1" applyAlignment="1">
      <alignment horizontal="left" vertical="center"/>
    </xf>
    <xf numFmtId="0" fontId="19" fillId="0" borderId="51" xfId="0" applyFont="1" applyBorder="1" applyAlignment="1">
      <alignment horizontal="center"/>
    </xf>
    <xf numFmtId="0" fontId="20" fillId="2" borderId="56" xfId="0" applyFont="1" applyFill="1" applyBorder="1" applyAlignment="1">
      <alignment horizontal="center" vertical="center"/>
    </xf>
    <xf numFmtId="0" fontId="4" fillId="0" borderId="53" xfId="0" applyFont="1" applyBorder="1" applyAlignment="1">
      <alignment horizontal="center" vertical="center" wrapText="1"/>
    </xf>
    <xf numFmtId="0" fontId="4" fillId="0" borderId="54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19" fillId="0" borderId="53" xfId="0" applyFont="1" applyBorder="1" applyAlignment="1">
      <alignment horizontal="center" vertical="center" wrapText="1"/>
    </xf>
    <xf numFmtId="0" fontId="19" fillId="0" borderId="26" xfId="0" applyFont="1" applyBorder="1" applyAlignment="1">
      <alignment horizontal="center" vertical="center" wrapText="1"/>
    </xf>
    <xf numFmtId="0" fontId="19" fillId="0" borderId="51" xfId="0" applyFont="1" applyBorder="1" applyAlignment="1">
      <alignment horizontal="center" vertical="center"/>
    </xf>
    <xf numFmtId="0" fontId="20" fillId="2" borderId="55" xfId="0" applyFont="1" applyFill="1" applyBorder="1" applyAlignment="1">
      <alignment horizontal="center" vertical="center"/>
    </xf>
    <xf numFmtId="0" fontId="23" fillId="4" borderId="27" xfId="0" applyFont="1" applyFill="1" applyBorder="1" applyAlignment="1">
      <alignment horizontal="center" vertical="center" wrapText="1"/>
    </xf>
    <xf numFmtId="0" fontId="23" fillId="4" borderId="28" xfId="0" applyFont="1" applyFill="1" applyBorder="1" applyAlignment="1">
      <alignment horizontal="center" vertical="center" wrapText="1"/>
    </xf>
  </cellXfs>
  <cellStyles count="5">
    <cellStyle name="Moeda" xfId="2" builtinId="4"/>
    <cellStyle name="Normal" xfId="0" builtinId="0"/>
    <cellStyle name="Porcentagem" xfId="3" builtinId="5"/>
    <cellStyle name="Ruim" xfId="4" builtinId="27"/>
    <cellStyle name="Vírgula" xfId="1" builtinId="3"/>
  </cellStyles>
  <dxfs count="57">
    <dxf>
      <numFmt numFmtId="14" formatCode="0.00%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14" formatCode="0.00%"/>
    </dxf>
    <dxf>
      <numFmt numFmtId="0" formatCode="General"/>
    </dxf>
    <dxf>
      <numFmt numFmtId="0" formatCode="General"/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 tint="-0.499984740745262"/>
      </font>
      <fill>
        <patternFill>
          <bgColor theme="2" tint="-9.9948118533890809E-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 tint="0.34998626667073579"/>
      </font>
      <fill>
        <patternFill>
          <bgColor theme="0" tint="-0.34998626667073579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 tint="-0.499984740745262"/>
      </font>
      <fill>
        <patternFill>
          <bgColor theme="2" tint="-9.9948118533890809E-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C00000"/>
      </font>
      <fill>
        <patternFill>
          <bgColor rgb="FFFFC7CE"/>
        </patternFill>
      </fill>
    </dxf>
    <dxf>
      <font>
        <color theme="1" tint="0.34998626667073579"/>
      </font>
      <fill>
        <patternFill>
          <bgColor theme="0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center"/>
    </dxf>
    <dxf>
      <alignment horizontal="center"/>
    </dxf>
    <dxf>
      <alignment horizontal="center"/>
    </dxf>
    <dxf>
      <font>
        <color theme="1"/>
      </font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FF9999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onnections" Target="connection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19050</xdr:colOff>
      <xdr:row>5</xdr:row>
      <xdr:rowOff>76200</xdr:rowOff>
    </xdr:from>
    <xdr:to>
      <xdr:col>4</xdr:col>
      <xdr:colOff>758825</xdr:colOff>
      <xdr:row>7</xdr:row>
      <xdr:rowOff>476250</xdr:rowOff>
    </xdr:to>
    <xdr:grpSp>
      <xdr:nvGrpSpPr>
        <xdr:cNvPr id="8" name="Agrupar 7">
          <a:extLst>
            <a:ext uri="{FF2B5EF4-FFF2-40B4-BE49-F238E27FC236}">
              <a16:creationId xmlns:a16="http://schemas.microsoft.com/office/drawing/2014/main" id="{C63E60C7-F4B4-4C55-8970-67DBA56A9286}"/>
            </a:ext>
          </a:extLst>
        </xdr:cNvPr>
        <xdr:cNvGrpSpPr/>
      </xdr:nvGrpSpPr>
      <xdr:grpSpPr>
        <a:xfrm>
          <a:off x="133350" y="76200"/>
          <a:ext cx="739775" cy="790575"/>
          <a:chOff x="79375" y="3176"/>
          <a:chExt cx="739775" cy="781050"/>
        </a:xfrm>
      </xdr:grpSpPr>
      <xdr:sp macro="" textlink="">
        <xdr:nvSpPr>
          <xdr:cNvPr id="9" name="Retângulo 8">
            <a:extLst>
              <a:ext uri="{FF2B5EF4-FFF2-40B4-BE49-F238E27FC236}">
                <a16:creationId xmlns:a16="http://schemas.microsoft.com/office/drawing/2014/main" id="{F143FD9A-B2D2-7C74-7312-D7955AB1E08F}"/>
              </a:ext>
            </a:extLst>
          </xdr:cNvPr>
          <xdr:cNvSpPr/>
        </xdr:nvSpPr>
        <xdr:spPr>
          <a:xfrm>
            <a:off x="79375" y="3176"/>
            <a:ext cx="739775" cy="781050"/>
          </a:xfrm>
          <a:prstGeom prst="rect">
            <a:avLst/>
          </a:prstGeom>
          <a:solidFill>
            <a:schemeClr val="accent1">
              <a:lumMod val="5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pic>
        <xdr:nvPicPr>
          <xdr:cNvPr id="10" name="Imagem 9" descr="Ícone&#10;&#10;Descrição gerada automaticamente">
            <a:extLst>
              <a:ext uri="{FF2B5EF4-FFF2-40B4-BE49-F238E27FC236}">
                <a16:creationId xmlns:a16="http://schemas.microsoft.com/office/drawing/2014/main" id="{2038CFB9-379C-B027-7014-74A1FC95E67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28601" y="76201"/>
            <a:ext cx="444500" cy="550330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114300</xdr:colOff>
      <xdr:row>3</xdr:row>
      <xdr:rowOff>57150</xdr:rowOff>
    </xdr:from>
    <xdr:to>
      <xdr:col>4</xdr:col>
      <xdr:colOff>879475</xdr:colOff>
      <xdr:row>7</xdr:row>
      <xdr:rowOff>148166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E91E4A93-FAFC-4A4A-818F-4821BAE3E4D9}"/>
            </a:ext>
          </a:extLst>
        </xdr:cNvPr>
        <xdr:cNvGrpSpPr/>
      </xdr:nvGrpSpPr>
      <xdr:grpSpPr>
        <a:xfrm>
          <a:off x="114300" y="57150"/>
          <a:ext cx="765175" cy="1062566"/>
          <a:chOff x="79375" y="3176"/>
          <a:chExt cx="739775" cy="781050"/>
        </a:xfrm>
      </xdr:grpSpPr>
      <xdr:sp macro="" textlink="">
        <xdr:nvSpPr>
          <xdr:cNvPr id="3" name="Retângulo 2">
            <a:extLst>
              <a:ext uri="{FF2B5EF4-FFF2-40B4-BE49-F238E27FC236}">
                <a16:creationId xmlns:a16="http://schemas.microsoft.com/office/drawing/2014/main" id="{984B4261-B4E6-4452-03B0-1A99FC000A7B}"/>
              </a:ext>
            </a:extLst>
          </xdr:cNvPr>
          <xdr:cNvSpPr/>
        </xdr:nvSpPr>
        <xdr:spPr>
          <a:xfrm>
            <a:off x="79375" y="3176"/>
            <a:ext cx="739775" cy="781050"/>
          </a:xfrm>
          <a:prstGeom prst="rect">
            <a:avLst/>
          </a:prstGeom>
          <a:solidFill>
            <a:schemeClr val="accent1">
              <a:lumMod val="5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pic>
        <xdr:nvPicPr>
          <xdr:cNvPr id="4" name="Imagem 3" descr="Ícone&#10;&#10;Descrição gerada automaticamente">
            <a:extLst>
              <a:ext uri="{FF2B5EF4-FFF2-40B4-BE49-F238E27FC236}">
                <a16:creationId xmlns:a16="http://schemas.microsoft.com/office/drawing/2014/main" id="{D0C152A5-2F73-13EA-2774-949221AA82F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28601" y="76201"/>
            <a:ext cx="444500" cy="550330"/>
          </a:xfrm>
          <a:prstGeom prst="rect">
            <a:avLst/>
          </a:prstGeom>
        </xdr:spPr>
      </xdr:pic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190499</xdr:colOff>
      <xdr:row>1</xdr:row>
      <xdr:rowOff>10583</xdr:rowOff>
    </xdr:from>
    <xdr:to>
      <xdr:col>2</xdr:col>
      <xdr:colOff>105832</xdr:colOff>
      <xdr:row>9</xdr:row>
      <xdr:rowOff>75804</xdr:rowOff>
    </xdr:to>
    <xdr:grpSp>
      <xdr:nvGrpSpPr>
        <xdr:cNvPr id="14" name="Agrupar 13">
          <a:extLst>
            <a:ext uri="{FF2B5EF4-FFF2-40B4-BE49-F238E27FC236}">
              <a16:creationId xmlns:a16="http://schemas.microsoft.com/office/drawing/2014/main" id="{E87BCC98-C9DF-4411-B5C3-142619FFA1A3}"/>
            </a:ext>
          </a:extLst>
        </xdr:cNvPr>
        <xdr:cNvGrpSpPr/>
      </xdr:nvGrpSpPr>
      <xdr:grpSpPr>
        <a:xfrm>
          <a:off x="253999" y="127000"/>
          <a:ext cx="1449916" cy="1515137"/>
          <a:chOff x="79375" y="3176"/>
          <a:chExt cx="739775" cy="781050"/>
        </a:xfrm>
      </xdr:grpSpPr>
      <xdr:sp macro="" textlink="">
        <xdr:nvSpPr>
          <xdr:cNvPr id="15" name="Retângulo 14">
            <a:extLst>
              <a:ext uri="{FF2B5EF4-FFF2-40B4-BE49-F238E27FC236}">
                <a16:creationId xmlns:a16="http://schemas.microsoft.com/office/drawing/2014/main" id="{05253B93-9C47-445E-52E5-B7A35CDAF550}"/>
              </a:ext>
            </a:extLst>
          </xdr:cNvPr>
          <xdr:cNvSpPr/>
        </xdr:nvSpPr>
        <xdr:spPr>
          <a:xfrm>
            <a:off x="79375" y="3176"/>
            <a:ext cx="739775" cy="781050"/>
          </a:xfrm>
          <a:prstGeom prst="rect">
            <a:avLst/>
          </a:prstGeom>
          <a:solidFill>
            <a:schemeClr val="accent1">
              <a:lumMod val="5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pic>
        <xdr:nvPicPr>
          <xdr:cNvPr id="16" name="Imagem 15" descr="Ícone&#10;&#10;Descrição gerada automaticamente">
            <a:extLst>
              <a:ext uri="{FF2B5EF4-FFF2-40B4-BE49-F238E27FC236}">
                <a16:creationId xmlns:a16="http://schemas.microsoft.com/office/drawing/2014/main" id="{5822DF41-4F6B-2101-5C7C-7C69465FCEC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28601" y="76201"/>
            <a:ext cx="444500" cy="550330"/>
          </a:xfrm>
          <a:prstGeom prst="rect">
            <a:avLst/>
          </a:prstGeom>
        </xdr:spPr>
      </xdr:pic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321193</xdr:colOff>
      <xdr:row>1</xdr:row>
      <xdr:rowOff>0</xdr:rowOff>
    </xdr:from>
    <xdr:to>
      <xdr:col>3</xdr:col>
      <xdr:colOff>132905</xdr:colOff>
      <xdr:row>5</xdr:row>
      <xdr:rowOff>254739</xdr:rowOff>
    </xdr:to>
    <xdr:grpSp>
      <xdr:nvGrpSpPr>
        <xdr:cNvPr id="11" name="Agrupar 10">
          <a:extLst>
            <a:ext uri="{FF2B5EF4-FFF2-40B4-BE49-F238E27FC236}">
              <a16:creationId xmlns:a16="http://schemas.microsoft.com/office/drawing/2014/main" id="{BF2E76FF-8A58-464B-B3D3-AF05D8E7F468}"/>
            </a:ext>
          </a:extLst>
        </xdr:cNvPr>
        <xdr:cNvGrpSpPr/>
      </xdr:nvGrpSpPr>
      <xdr:grpSpPr>
        <a:xfrm>
          <a:off x="1182979" y="113393"/>
          <a:ext cx="1331176" cy="1626792"/>
          <a:chOff x="79375" y="3176"/>
          <a:chExt cx="739775" cy="781050"/>
        </a:xfrm>
      </xdr:grpSpPr>
      <xdr:sp macro="" textlink="">
        <xdr:nvSpPr>
          <xdr:cNvPr id="12" name="Retângulo 11">
            <a:extLst>
              <a:ext uri="{FF2B5EF4-FFF2-40B4-BE49-F238E27FC236}">
                <a16:creationId xmlns:a16="http://schemas.microsoft.com/office/drawing/2014/main" id="{2B233E71-7F0E-BB39-4A2F-723594879592}"/>
              </a:ext>
            </a:extLst>
          </xdr:cNvPr>
          <xdr:cNvSpPr/>
        </xdr:nvSpPr>
        <xdr:spPr>
          <a:xfrm>
            <a:off x="79375" y="3176"/>
            <a:ext cx="739775" cy="781050"/>
          </a:xfrm>
          <a:prstGeom prst="rect">
            <a:avLst/>
          </a:prstGeom>
          <a:solidFill>
            <a:schemeClr val="accent1">
              <a:lumMod val="5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pic>
        <xdr:nvPicPr>
          <xdr:cNvPr id="13" name="Imagem 12" descr="Ícone&#10;&#10;Descrição gerada automaticamente">
            <a:extLst>
              <a:ext uri="{FF2B5EF4-FFF2-40B4-BE49-F238E27FC236}">
                <a16:creationId xmlns:a16="http://schemas.microsoft.com/office/drawing/2014/main" id="{B1701C91-764C-1500-E119-DD143D6BD18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28601" y="76201"/>
            <a:ext cx="444500" cy="550330"/>
          </a:xfrm>
          <a:prstGeom prst="rect">
            <a:avLst/>
          </a:prstGeom>
        </xdr:spPr>
      </xdr:pic>
    </xdr:grp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lanejamento - Rodrigo Pasquale Mazzaro" refreshedDate="45169.514317013891" createdVersion="8" refreshedVersion="8" minRefreshableVersion="3" recordCount="167" xr:uid="{C852498B-8C00-411E-8872-ABC1B1EA676E}">
  <cacheSource type="worksheet">
    <worksheetSource name="Consulta1"/>
  </cacheSource>
  <cacheFields count="12">
    <cacheField name="EMPREGADOR" numFmtId="0">
      <sharedItems containsBlank="1" count="65">
        <s v="AERONAUTICA"/>
        <s v="AMAZONPREV - AM"/>
        <s v="BOMBEIROS MG"/>
        <s v="DEMAE"/>
        <s v="EXERCITO"/>
        <s v="GOV ACRE"/>
        <s v="GOV AM"/>
        <s v="GOV BAHIA"/>
        <s v="GOV ES"/>
        <s v="GOV GO"/>
        <s v="GOV MA"/>
        <s v="GOV MT"/>
        <s v="GOV PARANA"/>
        <s v="GOV PB"/>
        <s v="GOV PE"/>
        <s v="GOV RONDONIA"/>
        <s v="GOV SC "/>
        <s v="GOV SP - SEFAZ"/>
        <s v="GOV SP - SPPREV"/>
        <s v="GOV SP PM PORT"/>
        <s v="GOV. MS"/>
        <s v="GOV. PIAUI"/>
        <s v="INSS"/>
        <s v="IPSEMG MG"/>
        <s v="IPSM MG"/>
        <s v="MANAUSPREV"/>
        <s v="MARINHA"/>
        <s v="PM FEIRA DE SAN"/>
        <s v="PM MG"/>
        <s v="PREF ARACAJU"/>
        <s v="PREF BOA VISTA"/>
        <s v="PREF C GRANDE"/>
        <s v="PREF CAMAÇARI"/>
        <s v="PREF CUIABA"/>
        <s v="PREF FLORIANOPO"/>
        <s v="PREF FORTALEZA"/>
        <s v="PREF GOIANIA"/>
        <s v="PREF GRAVATAI"/>
        <s v="PREF GUARUJ"/>
        <s v="PREF GUARULHOS"/>
        <s v="PREF ITANHA"/>
        <s v="PREF JUIZ FORA"/>
        <s v="PREF MANAUS."/>
        <s v="PREF OLINDA"/>
        <s v="PREF PERUIBE"/>
        <s v="PREF PG"/>
        <s v="PREF S JOSE SC"/>
        <s v="PREF SALVAD MAR"/>
        <s v="PREF SJ PINHAIS"/>
        <s v="PREF SOROCABA"/>
        <s v="PREF SP"/>
        <s v="PREF UBERABA"/>
        <s v="PREF. AQUIRAZ "/>
        <s v="PREF. ARACRUZ"/>
        <s v="PREF. BH"/>
        <s v="PREF. M. SOBRAL"/>
        <s v="SEPLAG"/>
        <s v="SIAPE SERV PORT"/>
        <s v="TJ BAHIA"/>
        <s v="TJ SAO PAULO"/>
        <s v="USP"/>
        <m u="1"/>
        <s v="PREF ALVORADA" u="1"/>
        <s v="PREF CONTAGEM" u="1"/>
        <s v="GOV SP - PORTAB" u="1"/>
      </sharedItems>
    </cacheField>
    <cacheField name="TABELA" numFmtId="0">
      <sharedItems/>
    </cacheField>
    <cacheField name="TAXA" numFmtId="10">
      <sharedItems containsSemiMixedTypes="0" containsString="0" containsNumber="1" minValue="1.5600000000000001E-2" maxValue="2.5499999999999998E-2"/>
    </cacheField>
    <cacheField name="PRAZO" numFmtId="0">
      <sharedItems containsSemiMixedTypes="0" containsString="0" containsNumber="1" containsInteger="1" minValue="72" maxValue="120"/>
    </cacheField>
    <cacheField name="FATOR" numFmtId="0">
      <sharedItems/>
    </cacheField>
    <cacheField name="TETO_COMERCIAL" numFmtId="43">
      <sharedItems containsString="0" containsBlank="1" containsNumber="1" minValue="1.8" maxValue="5"/>
    </cacheField>
    <cacheField name="VCTO" numFmtId="0">
      <sharedItems containsSemiMixedTypes="0" containsString="0" containsNumber="1" containsInteger="1" minValue="1" maxValue="30"/>
    </cacheField>
    <cacheField name="CARENCIA_FINAL" numFmtId="0">
      <sharedItems containsSemiMixedTypes="0" containsString="0" containsNumber="1" containsInteger="1" minValue="27" maxValue="87"/>
    </cacheField>
    <cacheField name="PMDESCRPRD" numFmtId="0">
      <sharedItems/>
    </cacheField>
    <cacheField name="min_port" numFmtId="0">
      <sharedItems containsBlank="1" containsMixedTypes="1" containsNumber="1" minValue="1.3" maxValue="1.4"/>
    </cacheField>
    <cacheField name="minport_%" numFmtId="0">
      <sharedItems containsSemiMixedTypes="0" containsString="0" containsNumber="1" minValue="0" maxValue="2.2000000000000002E-2"/>
    </cacheField>
    <cacheField name="TETO_COMERCIAL_%" numFmtId="10">
      <sharedItems containsSemiMixedTypes="0" containsString="0" containsNumber="1" minValue="0" maxValue="0.0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67">
  <r>
    <x v="0"/>
    <s v="795721 - Tabela 1"/>
    <n v="1.9E-2"/>
    <n v="96"/>
    <s v=""/>
    <n v="2.1"/>
    <n v="10"/>
    <n v="50"/>
    <s v="RFN-AERONAUTICA 1 DIG PORTAB"/>
    <s v="1,3"/>
    <n v="1.3000000000000001E-2"/>
    <n v="2.1000000000000001E-2"/>
  </r>
  <r>
    <x v="0"/>
    <s v="795722 - Tabela 2"/>
    <n v="1.8000000000000002E-2"/>
    <n v="96"/>
    <s v=""/>
    <n v="2.1"/>
    <n v="10"/>
    <n v="50"/>
    <s v="RFN-AERONAUTICA 2 DIG PORTAB"/>
    <s v="1,3"/>
    <n v="1.3000000000000001E-2"/>
    <n v="2.1000000000000001E-2"/>
  </r>
  <r>
    <x v="0"/>
    <s v="795723 - Tabela 3"/>
    <n v="1.7000000000000001E-2"/>
    <n v="96"/>
    <s v=""/>
    <n v="2.1"/>
    <n v="10"/>
    <n v="49"/>
    <s v="RFN-AERONAUTICA 3 DIG PORTAB"/>
    <s v="1,3"/>
    <n v="1.3000000000000001E-2"/>
    <n v="2.1000000000000001E-2"/>
  </r>
  <r>
    <x v="0"/>
    <s v="795724 - Tabela 4"/>
    <n v="1.5600000000000001E-2"/>
    <n v="96"/>
    <s v=""/>
    <n v="2.1"/>
    <n v="10"/>
    <n v="50"/>
    <s v="RFN-AERONAUTICA 4 DIG PORTAB"/>
    <s v="1,3"/>
    <n v="1.3000000000000001E-2"/>
    <n v="2.1000000000000001E-2"/>
  </r>
  <r>
    <x v="1"/>
    <s v="755501 - Tabela 1"/>
    <n v="2.5000000000000001E-2"/>
    <n v="120"/>
    <s v=""/>
    <n v="2.6"/>
    <n v="10"/>
    <n v="50"/>
    <s v="RFN - AMAZONPREV DIG 1 PORTAB PLUS"/>
    <s v="1,85"/>
    <n v="1.8500000000000003E-2"/>
    <n v="2.6000000000000002E-2"/>
  </r>
  <r>
    <x v="1"/>
    <s v="755504 - Tabela 2"/>
    <n v="2.35E-2"/>
    <n v="120"/>
    <s v=""/>
    <n v="2.6"/>
    <n v="10"/>
    <n v="55"/>
    <s v="RFN - AMAZONPREV DIG 2 PORTAB PLUS"/>
    <s v="1,85"/>
    <n v="1.8500000000000003E-2"/>
    <n v="2.6000000000000002E-2"/>
  </r>
  <r>
    <x v="2"/>
    <s v="765611 - Tabela 1"/>
    <n v="2.1499999999999998E-2"/>
    <n v="120"/>
    <s v=""/>
    <n v="2.4"/>
    <n v="7"/>
    <n v="44"/>
    <s v="RFN - BOMBEIROS 1 DIG PORTABILIDADE"/>
    <s v="1,64"/>
    <n v="1.6399999999999998E-2"/>
    <n v="2.4E-2"/>
  </r>
  <r>
    <x v="2"/>
    <s v="765613 - Tabela 3"/>
    <n v="1.9400000000000001E-2"/>
    <n v="120"/>
    <s v=""/>
    <n v="2.4"/>
    <n v="7"/>
    <n v="41"/>
    <s v="RFN - BOMBEIROS 3 DIG PORTABILIDADE"/>
    <s v="1,64"/>
    <n v="1.6399999999999998E-2"/>
    <n v="2.4E-2"/>
  </r>
  <r>
    <x v="2"/>
    <s v="765614 - Tabela 4"/>
    <n v="1.7899999999999999E-2"/>
    <n v="120"/>
    <s v=""/>
    <n v="2.4"/>
    <n v="7"/>
    <n v="51"/>
    <s v="RFN - BOMBEIROS 4 DIG PORTABILIDADE"/>
    <s v="1,64"/>
    <n v="1.6399999999999998E-2"/>
    <n v="2.4E-2"/>
  </r>
  <r>
    <x v="3"/>
    <s v="795831 - Tabela 1"/>
    <n v="2.0400000000000001E-2"/>
    <n v="96"/>
    <s v=""/>
    <n v="2.4"/>
    <n v="25"/>
    <n v="45"/>
    <s v="RFN - DEMAE UBERLANDIA 1 PORTAB DIG"/>
    <s v="1,55"/>
    <n v="1.55E-2"/>
    <n v="2.4E-2"/>
  </r>
  <r>
    <x v="4"/>
    <s v="795032 - Tabela 1"/>
    <n v="1.95E-2"/>
    <n v="72"/>
    <s v=""/>
    <n v="2"/>
    <n v="2"/>
    <n v="46"/>
    <s v="RFN - EXERCITO DIG PORTABILIDADE 1"/>
    <s v="1,3"/>
    <n v="1.3000000000000001E-2"/>
    <n v="0.02"/>
  </r>
  <r>
    <x v="4"/>
    <s v="795033 - Tabela 2"/>
    <n v="1.8500000000000003E-2"/>
    <n v="72"/>
    <s v=""/>
    <n v="2"/>
    <n v="2"/>
    <n v="46"/>
    <s v="RFN - EXERCITO DIG PORTABILIDADE 2"/>
    <s v="1,3"/>
    <n v="1.3000000000000001E-2"/>
    <n v="0.02"/>
  </r>
  <r>
    <x v="4"/>
    <s v="795034 - Tabela 3"/>
    <n v="1.7500000000000002E-2"/>
    <n v="72"/>
    <s v=""/>
    <n v="2"/>
    <n v="2"/>
    <n v="46"/>
    <s v="RFN - EXERCITO DIG PORTABILIDADE 3"/>
    <s v="1,3"/>
    <n v="1.3000000000000001E-2"/>
    <n v="0.02"/>
  </r>
  <r>
    <x v="4"/>
    <s v="795040 - Tabela 4"/>
    <n v="1.6299999999999999E-2"/>
    <n v="72"/>
    <s v=""/>
    <n v="2"/>
    <n v="2"/>
    <n v="47"/>
    <s v="RFN - EXERCITO DIG PORTABILIDADE 4"/>
    <s v="1,3"/>
    <n v="1.3000000000000001E-2"/>
    <n v="0.02"/>
  </r>
  <r>
    <x v="5"/>
    <s v="745131 - Tabela 1"/>
    <n v="2.2499999999999999E-2"/>
    <n v="120"/>
    <s v=""/>
    <n v="2.4"/>
    <n v="5"/>
    <n v="47"/>
    <s v="RFN - GOV. ACRE DIG 1 PORTAB"/>
    <s v="1,65"/>
    <n v="1.6500000000000001E-2"/>
    <n v="2.4E-2"/>
  </r>
  <r>
    <x v="5"/>
    <s v="745137 - Tabela 2"/>
    <n v="2.2000000000000002E-2"/>
    <n v="120"/>
    <s v=""/>
    <n v="2.4"/>
    <n v="5"/>
    <n v="46"/>
    <s v="RFN - GOV. ACRE DIG 2 PORTAB"/>
    <s v="1,65"/>
    <n v="1.6500000000000001E-2"/>
    <n v="2.4E-2"/>
  </r>
  <r>
    <x v="6"/>
    <s v="775185 - Tabela 1"/>
    <n v="2.35E-2"/>
    <n v="120"/>
    <s v=""/>
    <n v="2.4"/>
    <n v="20"/>
    <n v="59"/>
    <s v="RFN - GOV. AM PORTAB 1 DIG"/>
    <s v="1,5"/>
    <n v="1.4999999999999999E-2"/>
    <n v="2.4E-2"/>
  </r>
  <r>
    <x v="6"/>
    <s v="775186 - Tabela 2"/>
    <n v="2.2499999999999999E-2"/>
    <n v="120"/>
    <s v=""/>
    <n v="2.4"/>
    <n v="20"/>
    <n v="58"/>
    <s v="RFN - GOV. AM PORTAB 2 DIG"/>
    <s v="1,5"/>
    <n v="1.4999999999999999E-2"/>
    <n v="2.4E-2"/>
  </r>
  <r>
    <x v="6"/>
    <s v="775187 - Tabela 3"/>
    <n v="2.1499999999999998E-2"/>
    <n v="120"/>
    <s v=""/>
    <n v="2.4"/>
    <n v="20"/>
    <n v="57"/>
    <s v="RFN - GOV. AM PORTAB 3 DIG"/>
    <s v="1,5"/>
    <n v="1.4999999999999999E-2"/>
    <n v="2.4E-2"/>
  </r>
  <r>
    <x v="6"/>
    <s v="775188 - Tabela 4"/>
    <n v="2.0499999999999997E-2"/>
    <n v="120"/>
    <s v=""/>
    <n v="2.4"/>
    <n v="20"/>
    <n v="59"/>
    <s v="RFN - GOV. AM PORTAB 4 DIG"/>
    <s v="1,5"/>
    <n v="1.4999999999999999E-2"/>
    <n v="2.4E-2"/>
  </r>
  <r>
    <x v="7"/>
    <s v="715361 - Tabela 1"/>
    <n v="2.2000000000000002E-2"/>
    <n v="96"/>
    <s v=""/>
    <n v="2.2000000000000002"/>
    <n v="10"/>
    <n v="52"/>
    <s v="RFN - GOV. BAHIA DIG PORTABILIDADE 1"/>
    <s v="1,3"/>
    <n v="1.3000000000000001E-2"/>
    <n v="2.2000000000000002E-2"/>
  </r>
  <r>
    <x v="7"/>
    <s v="715362 - Tabela 2"/>
    <n v="2.1000000000000001E-2"/>
    <n v="96"/>
    <s v=""/>
    <n v="2.2000000000000002"/>
    <n v="10"/>
    <n v="52"/>
    <s v="RFN - GOV. BAHIA DIG PORTABILIDADE 2"/>
    <s v="1,3"/>
    <n v="1.3000000000000001E-2"/>
    <n v="2.2000000000000002E-2"/>
  </r>
  <r>
    <x v="7"/>
    <s v="715363 - Tabela 3"/>
    <n v="0.02"/>
    <n v="96"/>
    <s v=""/>
    <n v="2.2000000000000002"/>
    <n v="10"/>
    <n v="52"/>
    <s v="RFN - GOV. BAHIA DIG PORTABILIDADE 3"/>
    <s v="1,3"/>
    <n v="1.3000000000000001E-2"/>
    <n v="2.2000000000000002E-2"/>
  </r>
  <r>
    <x v="7"/>
    <s v="715364 - Tabela 4"/>
    <n v="1.95E-2"/>
    <n v="96"/>
    <s v=""/>
    <n v="2.2000000000000002"/>
    <n v="10"/>
    <n v="52"/>
    <s v="RFN - GOV. BAHIA DIG PORTABILIDADE 4"/>
    <s v="1,3"/>
    <n v="1.3000000000000001E-2"/>
    <n v="2.2000000000000002E-2"/>
  </r>
  <r>
    <x v="7"/>
    <s v="715365 - Tabela 5"/>
    <n v="1.9E-2"/>
    <n v="96"/>
    <s v=""/>
    <n v="2.2000000000000002"/>
    <n v="10"/>
    <n v="52"/>
    <s v="RFN - GOV. BAHIA DIG PORTABILIDADE 5"/>
    <s v="1,3"/>
    <n v="1.3000000000000001E-2"/>
    <n v="2.2000000000000002E-2"/>
  </r>
  <r>
    <x v="7"/>
    <s v="715366 - Tabela 6"/>
    <n v="1.8500000000000003E-2"/>
    <n v="96"/>
    <s v=""/>
    <n v="2.2000000000000002"/>
    <n v="10"/>
    <n v="52"/>
    <s v="RFN - GOV. BAHIA DIG PORTABILIDADE 6"/>
    <s v="1,3"/>
    <n v="1.3000000000000001E-2"/>
    <n v="2.2000000000000002E-2"/>
  </r>
  <r>
    <x v="8"/>
    <s v="705181 - Tabela 1"/>
    <n v="1.8000000000000002E-2"/>
    <n v="120"/>
    <s v=""/>
    <n v="1.8"/>
    <n v="20"/>
    <n v="69"/>
    <s v="RFN - GOV. ES DIG 1 PORTAB"/>
    <s v="1,11"/>
    <n v="1.11E-2"/>
    <n v="1.8000000000000002E-2"/>
  </r>
  <r>
    <x v="8"/>
    <s v="705187 - Tabela 4"/>
    <n v="1.66E-2"/>
    <n v="120"/>
    <s v=""/>
    <n v="1.8"/>
    <n v="20"/>
    <n v="69"/>
    <s v="RFN - GOV. ES DIG 4 PORTAB"/>
    <s v="1,11"/>
    <n v="1.11E-2"/>
    <n v="1.8000000000000002E-2"/>
  </r>
  <r>
    <x v="9"/>
    <s v="745106 - Tabela 1"/>
    <n v="2.12E-2"/>
    <n v="96"/>
    <s v=""/>
    <n v="2.12"/>
    <n v="10"/>
    <n v="54"/>
    <s v="RFN - GOV. GOIAS 1 DIG PORTAB"/>
    <s v="1,87"/>
    <n v="1.8700000000000001E-2"/>
    <n v="2.12E-2"/>
  </r>
  <r>
    <x v="10"/>
    <s v="785041 - Tabela 1"/>
    <n v="2.2700000000000001E-2"/>
    <n v="120"/>
    <s v=""/>
    <n v="2.2999999999999998"/>
    <n v="15"/>
    <n v="59"/>
    <s v="RFN - GOV. MARANHAO DIG 1 PORTABILIDADE"/>
    <s v="1,7"/>
    <n v="1.7000000000000001E-2"/>
    <n v="2.3E-2"/>
  </r>
  <r>
    <x v="10"/>
    <s v="785042 - Tabela 2"/>
    <n v="2.1700000000000001E-2"/>
    <n v="120"/>
    <s v=""/>
    <n v="2.2999999999999998"/>
    <n v="15"/>
    <n v="53"/>
    <s v="RFN - GOV. MARANHAO DIG 2 PORTABILIDADE"/>
    <s v="1,7"/>
    <n v="1.7000000000000001E-2"/>
    <n v="2.3E-2"/>
  </r>
  <r>
    <x v="10"/>
    <s v="785043 - Tabela 3"/>
    <n v="2.07E-2"/>
    <n v="120"/>
    <s v=""/>
    <n v="2.2999999999999998"/>
    <n v="15"/>
    <n v="53"/>
    <s v="RFN - GOV. MARANHAO DIG 3 PORTABILIDADE"/>
    <s v="1,7"/>
    <n v="1.7000000000000001E-2"/>
    <n v="2.3E-2"/>
  </r>
  <r>
    <x v="10"/>
    <s v="785044 - Tabela 4"/>
    <n v="1.9699999999999999E-2"/>
    <n v="120"/>
    <s v=""/>
    <n v="2.2999999999999998"/>
    <n v="15"/>
    <n v="53"/>
    <s v="RFN - GOV. MARANHAO DIG 4 PORTABILIDADE"/>
    <s v="1,7"/>
    <n v="1.7000000000000001E-2"/>
    <n v="2.3E-2"/>
  </r>
  <r>
    <x v="11"/>
    <s v="745111 - Tabela 1"/>
    <n v="2.2000000000000002E-2"/>
    <n v="108"/>
    <s v=""/>
    <n v="2.2200000000000002"/>
    <n v="30"/>
    <n v="63"/>
    <s v="RFN - GOV MT DIG 1 PORTAB"/>
    <s v="1,5"/>
    <n v="1.4999999999999999E-2"/>
    <n v="2.2200000000000001E-2"/>
  </r>
  <r>
    <x v="11"/>
    <s v="745112 - Tabela 2"/>
    <n v="2.1000000000000001E-2"/>
    <n v="120"/>
    <s v=""/>
    <n v="2.2200000000000002"/>
    <n v="30"/>
    <n v="63"/>
    <s v="RFN - GOV MT DIG 2 PORTAB"/>
    <s v="1,5"/>
    <n v="1.4999999999999999E-2"/>
    <n v="2.2200000000000001E-2"/>
  </r>
  <r>
    <x v="12"/>
    <s v="795039 - Tabela 1"/>
    <n v="1.9E-2"/>
    <n v="96"/>
    <s v=""/>
    <n v="1.99"/>
    <n v="10"/>
    <n v="50"/>
    <s v="RFN - GOV PR DIG PORTAB 1"/>
    <s v="1,36"/>
    <n v="1.3600000000000001E-2"/>
    <n v="1.9900000000000001E-2"/>
  </r>
  <r>
    <x v="12"/>
    <s v="795008 - Tabela 2"/>
    <n v="1.8500000000000003E-2"/>
    <n v="96"/>
    <s v=""/>
    <n v="1.99"/>
    <n v="10"/>
    <n v="45"/>
    <s v="RFN - GOV PR DIG PORTAB 2"/>
    <s v="1,36"/>
    <n v="1.3600000000000001E-2"/>
    <n v="1.9900000000000001E-2"/>
  </r>
  <r>
    <x v="12"/>
    <s v="795009 - Tabela 3"/>
    <n v="1.8000000000000002E-2"/>
    <n v="96"/>
    <s v=""/>
    <n v="1.99"/>
    <n v="10"/>
    <n v="51"/>
    <s v="RFN - GOV PR DIG PORTAB 3"/>
    <s v="1,36"/>
    <n v="1.3600000000000001E-2"/>
    <n v="1.9900000000000001E-2"/>
  </r>
  <r>
    <x v="13"/>
    <s v="505001 - Tabela 1"/>
    <n v="1.9799999999999998E-2"/>
    <n v="120"/>
    <s v=""/>
    <n v="1.98"/>
    <n v="20"/>
    <n v="69"/>
    <s v="RFN - GOV. PARAIBA 1 DIG PORTAB"/>
    <s v="1,7"/>
    <n v="1.7000000000000001E-2"/>
    <n v="1.9799999999999998E-2"/>
  </r>
  <r>
    <x v="14"/>
    <s v="745125 - Tabela 1"/>
    <n v="1.6500000000000001E-2"/>
    <n v="96"/>
    <s v=""/>
    <n v="2.7"/>
    <n v="10"/>
    <n v="52"/>
    <s v="RFN - GOV. PE DIG 1 PORTABILIDADE"/>
    <n v="1.4"/>
    <n v="1.3999999999999999E-2"/>
    <n v="2.7000000000000003E-2"/>
  </r>
  <r>
    <x v="14"/>
    <s v="745130 - Tabela "/>
    <n v="1.5600000000000001E-2"/>
    <n v="96"/>
    <s v=""/>
    <n v="2.7"/>
    <n v="10"/>
    <n v="52"/>
    <s v="RFN - GOV. PE DIG PORTABILIDADE COMB"/>
    <n v="1.4"/>
    <n v="1.3999999999999999E-2"/>
    <n v="2.7000000000000003E-2"/>
  </r>
  <r>
    <x v="15"/>
    <s v="775191 - Tabela 1"/>
    <n v="2.1000000000000001E-2"/>
    <n v="96"/>
    <s v=""/>
    <n v="2.1"/>
    <n v="10"/>
    <n v="58"/>
    <s v="RFN - GOV. RONDONIA 1 DIG PORTAB"/>
    <s v="1,75"/>
    <n v="1.7500000000000002E-2"/>
    <n v="2.1000000000000001E-2"/>
  </r>
  <r>
    <x v="15"/>
    <s v="775192 - Tabela 2"/>
    <n v="2.0499999999999997E-2"/>
    <n v="96"/>
    <s v=""/>
    <n v="2.1"/>
    <n v="10"/>
    <n v="55"/>
    <s v="RFN - GOV. RONDONIA 2 DIG PORTAB"/>
    <s v="1,75"/>
    <n v="1.7500000000000002E-2"/>
    <n v="2.1000000000000001E-2"/>
  </r>
  <r>
    <x v="16"/>
    <s v="745166 - Tabela 1"/>
    <n v="1.9E-2"/>
    <n v="120"/>
    <s v=""/>
    <n v="2.1"/>
    <n v="10"/>
    <n v="53"/>
    <s v="RFN - GOV. SC DIG 1 PORTAB"/>
    <s v="1,3"/>
    <n v="1.3000000000000001E-2"/>
    <n v="2.1000000000000001E-2"/>
  </r>
  <r>
    <x v="16"/>
    <s v="745167 - Tabela 2"/>
    <n v="1.8000000000000002E-2"/>
    <n v="120"/>
    <s v=""/>
    <n v="2.1"/>
    <n v="10"/>
    <n v="53"/>
    <s v="RFN - GOV. SC DIG 2 PORTAB"/>
    <s v="1,3"/>
    <n v="1.3000000000000001E-2"/>
    <n v="2.1000000000000001E-2"/>
  </r>
  <r>
    <x v="16"/>
    <s v="745168 - Tabela 3"/>
    <n v="1.7500000000000002E-2"/>
    <n v="120"/>
    <s v=""/>
    <n v="2.1"/>
    <n v="10"/>
    <n v="53"/>
    <s v="RFN - GOV. SC DIG 3 PORTAB"/>
    <s v="1,3"/>
    <n v="1.3000000000000001E-2"/>
    <n v="2.1000000000000001E-2"/>
  </r>
  <r>
    <x v="16"/>
    <s v="745169 - Tabela 4"/>
    <n v="1.7000000000000001E-2"/>
    <n v="120"/>
    <s v=""/>
    <n v="2.1"/>
    <n v="10"/>
    <n v="53"/>
    <s v="RFN - GOV. SC DIG 4 PORTAB"/>
    <s v="1,3"/>
    <n v="1.3000000000000001E-2"/>
    <n v="2.1000000000000001E-2"/>
  </r>
  <r>
    <x v="17"/>
    <s v="704040 - Tabela 1"/>
    <n v="2.29E-2"/>
    <n v="96"/>
    <s v=""/>
    <n v="2.29"/>
    <n v="10"/>
    <n v="54"/>
    <s v="RFN - GOV SP - SEFAZ 1 DIG PORTAB PLUS"/>
    <s v="1,44"/>
    <n v="1.44E-2"/>
    <n v="2.29E-2"/>
  </r>
  <r>
    <x v="17"/>
    <s v="704042 - Tabela 2"/>
    <n v="2.1899999999999999E-2"/>
    <n v="96"/>
    <s v=""/>
    <n v="2.29"/>
    <n v="10"/>
    <n v="41"/>
    <s v="RFN - GOV SP - SEFAZ 2 DIG PORTAB PLUS"/>
    <s v="1,44"/>
    <n v="1.44E-2"/>
    <n v="2.29E-2"/>
  </r>
  <r>
    <x v="17"/>
    <s v="704043 - Tabela 3"/>
    <n v="2.0899999999999998E-2"/>
    <n v="96"/>
    <s v=""/>
    <n v="2.29"/>
    <n v="10"/>
    <n v="44"/>
    <s v="RFN - GOV SP - SEFAZ 3 DIG PORTAB PLUS"/>
    <s v="1,44"/>
    <n v="1.44E-2"/>
    <n v="2.29E-2"/>
  </r>
  <r>
    <x v="17"/>
    <s v="704044 - Tabela 4"/>
    <n v="1.9900000000000001E-2"/>
    <n v="96"/>
    <s v=""/>
    <n v="2.29"/>
    <n v="10"/>
    <n v="42"/>
    <s v="RFN - GOV SP - SEFAZ 4 DIG PORTAB PLUS"/>
    <s v="1,44"/>
    <n v="1.44E-2"/>
    <n v="2.29E-2"/>
  </r>
  <r>
    <x v="17"/>
    <s v="704045 - Tabela 5"/>
    <n v="1.8500000000000003E-2"/>
    <n v="96"/>
    <s v=""/>
    <n v="2.29"/>
    <n v="10"/>
    <n v="46"/>
    <s v="RFN - GOV SP - SEFAZ 5 DIG PORTAB PLUS"/>
    <s v="1,44"/>
    <n v="1.44E-2"/>
    <n v="2.29E-2"/>
  </r>
  <r>
    <x v="18"/>
    <s v="774028 - Tabela 1"/>
    <n v="2.29E-2"/>
    <n v="96"/>
    <s v=""/>
    <n v="2.29"/>
    <n v="10"/>
    <n v="49"/>
    <s v="RFN - GOV SP - SPPREV 1 DIG PORTAB PLUS"/>
    <s v="1,44"/>
    <n v="1.44E-2"/>
    <n v="2.29E-2"/>
  </r>
  <r>
    <x v="18"/>
    <s v="774029 - Tabela 2"/>
    <n v="2.1899999999999999E-2"/>
    <n v="96"/>
    <s v=""/>
    <n v="2.29"/>
    <n v="10"/>
    <n v="42"/>
    <s v="RFN - GOV SP - SPPREV 2 DIG PORTAB PLUS"/>
    <s v="1,44"/>
    <n v="1.44E-2"/>
    <n v="2.29E-2"/>
  </r>
  <r>
    <x v="18"/>
    <s v="774030 - Tabela 3"/>
    <n v="2.0899999999999998E-2"/>
    <n v="96"/>
    <s v=""/>
    <n v="2.29"/>
    <n v="10"/>
    <n v="45"/>
    <s v="RFN - GOV SP - SPPREV 3 DIG PORTAB PLUS"/>
    <s v="1,44"/>
    <n v="1.44E-2"/>
    <n v="2.29E-2"/>
  </r>
  <r>
    <x v="18"/>
    <s v="774037 - Tabela 4"/>
    <n v="1.9900000000000001E-2"/>
    <n v="96"/>
    <s v=""/>
    <n v="2.29"/>
    <n v="10"/>
    <n v="45"/>
    <s v="RFN - GOV SP - SPPREV 4 DIG PORTAB PLUS"/>
    <s v="1,44"/>
    <n v="1.44E-2"/>
    <n v="2.29E-2"/>
  </r>
  <r>
    <x v="18"/>
    <s v="774038 - Tabela 5"/>
    <n v="1.8500000000000003E-2"/>
    <n v="96"/>
    <s v=""/>
    <n v="2.29"/>
    <n v="10"/>
    <n v="45"/>
    <s v="RFN - GOV SP - SPPREV 5 DIG PORTAB PLUS"/>
    <s v="1,44"/>
    <n v="1.44E-2"/>
    <n v="2.29E-2"/>
  </r>
  <r>
    <x v="19"/>
    <s v="705171 - Tabela 1"/>
    <n v="2.29E-2"/>
    <n v="96"/>
    <s v=""/>
    <n v="2.29"/>
    <n v="10"/>
    <n v="56"/>
    <s v="RFN - GOV SP - PM 1 PORTAB DIG"/>
    <s v="1,44"/>
    <n v="1.44E-2"/>
    <n v="2.29E-2"/>
  </r>
  <r>
    <x v="19"/>
    <s v="705172 - Tabela 2"/>
    <n v="2.1899999999999999E-2"/>
    <n v="96"/>
    <s v=""/>
    <n v="2.29"/>
    <n v="10"/>
    <n v="60"/>
    <s v="RFN - GOV SP - PM 2 PORTAB DIG"/>
    <s v="1,44"/>
    <n v="1.44E-2"/>
    <n v="2.29E-2"/>
  </r>
  <r>
    <x v="19"/>
    <s v="705173 - Tabela 3"/>
    <n v="2.0899999999999998E-2"/>
    <n v="96"/>
    <s v=""/>
    <n v="2.29"/>
    <n v="10"/>
    <n v="59"/>
    <s v="RFN - GOV SP - PM 3 PORTAB DIG"/>
    <s v="1,44"/>
    <n v="1.44E-2"/>
    <n v="2.29E-2"/>
  </r>
  <r>
    <x v="19"/>
    <s v="705174 - Tabela 4"/>
    <n v="1.9900000000000001E-2"/>
    <n v="96"/>
    <s v=""/>
    <n v="2.29"/>
    <n v="10"/>
    <n v="52"/>
    <s v="RFN - GOV SP - PM 4 PORTAB DIG"/>
    <s v="1,44"/>
    <n v="1.44E-2"/>
    <n v="2.29E-2"/>
  </r>
  <r>
    <x v="19"/>
    <s v="705189 - Tabela 5"/>
    <n v="1.8500000000000003E-2"/>
    <n v="96"/>
    <s v=""/>
    <n v="2.29"/>
    <n v="10"/>
    <n v="47"/>
    <s v="RFN - GOV SP - PM 5 PORTAB DIG"/>
    <s v="1,44"/>
    <n v="1.44E-2"/>
    <n v="2.29E-2"/>
  </r>
  <r>
    <x v="20"/>
    <s v="705276 - Tabela 1"/>
    <n v="1.9E-2"/>
    <n v="120"/>
    <s v=""/>
    <n v="2.1"/>
    <n v="5"/>
    <n v="68"/>
    <s v="RFN - GOV. MS DIG 1 PORTAB"/>
    <s v="1,55"/>
    <n v="1.55E-2"/>
    <n v="2.1000000000000001E-2"/>
  </r>
  <r>
    <x v="20"/>
    <s v="705277 - Tabela 2"/>
    <n v="1.8500000000000003E-2"/>
    <n v="120"/>
    <s v=""/>
    <n v="2.1"/>
    <n v="5"/>
    <n v="76"/>
    <s v="RFN - GOV. MS DIG 2 PORTAB"/>
    <s v="1,55"/>
    <n v="1.55E-2"/>
    <n v="2.1000000000000001E-2"/>
  </r>
  <r>
    <x v="20"/>
    <s v="705278 - Tabela 3"/>
    <n v="1.8000000000000002E-2"/>
    <n v="120"/>
    <s v=""/>
    <n v="2.1"/>
    <n v="5"/>
    <n v="70"/>
    <s v="RFN - GOV. MS DIG 3 PORTAB"/>
    <s v="1,55"/>
    <n v="1.55E-2"/>
    <n v="2.1000000000000001E-2"/>
  </r>
  <r>
    <x v="21"/>
    <s v="785931 - Tabela 1"/>
    <n v="1.95E-2"/>
    <n v="96"/>
    <s v=""/>
    <n v="2.4"/>
    <n v="10"/>
    <n v="65"/>
    <s v="RFN - GOV PIAUI 1 DIG PORTAB"/>
    <s v="1,7"/>
    <n v="1.7000000000000001E-2"/>
    <n v="2.4E-2"/>
  </r>
  <r>
    <x v="21"/>
    <s v="785933 - Tabela 2"/>
    <n v="1.8500000000000003E-2"/>
    <n v="96"/>
    <s v=""/>
    <n v="2.4"/>
    <n v="10"/>
    <n v="65"/>
    <s v="RFN - GOV PIAUI 2 DIG PORTAB"/>
    <s v="1,7"/>
    <n v="1.7000000000000001E-2"/>
    <n v="2.4E-2"/>
  </r>
  <r>
    <x v="22"/>
    <s v="815061 - Tabela 1"/>
    <n v="1.9E-2"/>
    <n v="84"/>
    <s v=""/>
    <n v="1.91"/>
    <n v="10"/>
    <n v="53"/>
    <s v="RFN - INSS 1 PORTAB DIG AOL"/>
    <s v="1,15"/>
    <n v="1.15E-2"/>
    <n v="1.9099999999999999E-2"/>
  </r>
  <r>
    <x v="22"/>
    <s v="815082 - Tabela 2"/>
    <n v="1.8500000000000003E-2"/>
    <n v="84"/>
    <s v=""/>
    <n v="1.91"/>
    <n v="10"/>
    <n v="53"/>
    <s v="RFN - INSS 2 PORTAB DIG AOL"/>
    <s v="1,15"/>
    <n v="1.15E-2"/>
    <n v="1.9099999999999999E-2"/>
  </r>
  <r>
    <x v="22"/>
    <s v="815083 - Tabela 3"/>
    <n v="1.8000000000000002E-2"/>
    <n v="84"/>
    <s v=""/>
    <n v="1.91"/>
    <n v="10"/>
    <n v="53"/>
    <s v="RFN - INSS 3 PORTAB DIG AOL"/>
    <s v="1,15"/>
    <n v="1.15E-2"/>
    <n v="1.9099999999999999E-2"/>
  </r>
  <r>
    <x v="22"/>
    <s v="815084 - Tabela 4"/>
    <n v="1.7500000000000002E-2"/>
    <n v="84"/>
    <s v=""/>
    <n v="1.91"/>
    <n v="10"/>
    <n v="53"/>
    <s v="RFN - INSS 4 PORTAB DIG AOL"/>
    <s v="1,15"/>
    <n v="1.15E-2"/>
    <n v="1.9099999999999999E-2"/>
  </r>
  <r>
    <x v="22"/>
    <s v="815085 - Tabela 5"/>
    <n v="1.7000000000000001E-2"/>
    <n v="84"/>
    <s v=""/>
    <n v="1.91"/>
    <n v="10"/>
    <n v="53"/>
    <s v="RFN - INSS 5 PORTAB DIG AOL"/>
    <s v="1,15"/>
    <n v="1.15E-2"/>
    <n v="1.9099999999999999E-2"/>
  </r>
  <r>
    <x v="22"/>
    <s v="815086 - Tabela 6"/>
    <n v="1.6500000000000001E-2"/>
    <n v="84"/>
    <s v=""/>
    <n v="1.91"/>
    <n v="10"/>
    <n v="53"/>
    <s v="RFN - INSS 6 PORTAB DIG AOL"/>
    <s v="1,15"/>
    <n v="1.15E-2"/>
    <n v="1.9099999999999999E-2"/>
  </r>
  <r>
    <x v="23"/>
    <s v="765631 - Tabela 1"/>
    <n v="2.1499999999999998E-2"/>
    <n v="120"/>
    <s v=""/>
    <n v="2.4"/>
    <n v="12"/>
    <n v="43"/>
    <s v="RFN - IPSEMG 1 DIG PORTABILIDADE"/>
    <s v="1,64"/>
    <n v="1.6399999999999998E-2"/>
    <n v="2.4E-2"/>
  </r>
  <r>
    <x v="23"/>
    <s v="765632 - Tabela 2"/>
    <n v="2.0499999999999997E-2"/>
    <n v="120"/>
    <s v=""/>
    <n v="2.4"/>
    <n v="12"/>
    <n v="47"/>
    <s v="RFN - IPSEMG 2 DIG PORTABILIDADE"/>
    <s v="1,64"/>
    <n v="1.6399999999999998E-2"/>
    <n v="2.4E-2"/>
  </r>
  <r>
    <x v="23"/>
    <s v="765633 - Tabela 3"/>
    <n v="1.9400000000000001E-2"/>
    <n v="120"/>
    <s v=""/>
    <n v="2.4"/>
    <n v="12"/>
    <n v="46"/>
    <s v="RFN - IPSEMG 3 DIG PORTABILIDADE"/>
    <s v="1,64"/>
    <n v="1.6399999999999998E-2"/>
    <n v="2.4E-2"/>
  </r>
  <r>
    <x v="23"/>
    <s v="765634 - Tabela 4"/>
    <n v="1.7899999999999999E-2"/>
    <n v="120"/>
    <s v=""/>
    <n v="2.4"/>
    <n v="12"/>
    <n v="47"/>
    <s v="RFN - IPSEMG 4 DIG PORTABILIDADE"/>
    <s v="1,64"/>
    <n v="1.6399999999999998E-2"/>
    <n v="2.4E-2"/>
  </r>
  <r>
    <x v="24"/>
    <s v="765643 - Tabela 3"/>
    <n v="1.9400000000000001E-2"/>
    <n v="120"/>
    <s v=""/>
    <n v="2.4"/>
    <n v="10"/>
    <n v="46"/>
    <s v="RFN - IPSM 3 DIG PORTABILIDADE"/>
    <s v="1,64"/>
    <n v="1.6399999999999998E-2"/>
    <n v="2.4E-2"/>
  </r>
  <r>
    <x v="25"/>
    <s v="705531 - Tabela 1"/>
    <n v="2.3E-2"/>
    <n v="96"/>
    <s v=""/>
    <n v="2.8"/>
    <n v="25"/>
    <n v="74"/>
    <s v="RFN - MANAUSPREV DIG PORTAB PLUS 1"/>
    <s v="1,85"/>
    <n v="1.8500000000000003E-2"/>
    <n v="2.7999999999999997E-2"/>
  </r>
  <r>
    <x v="25"/>
    <s v="705532 - Tabela 2"/>
    <n v="2.2000000000000002E-2"/>
    <n v="96"/>
    <s v=""/>
    <n v="2.8"/>
    <n v="25"/>
    <n v="73"/>
    <s v="RFN - MANAUSPREV DIG PORTAB PLUS 2"/>
    <s v="1,85"/>
    <n v="1.8500000000000003E-2"/>
    <n v="2.7999999999999997E-2"/>
  </r>
  <r>
    <x v="25"/>
    <s v="705533 - Tabela 3"/>
    <n v="2.1000000000000001E-2"/>
    <n v="96"/>
    <s v=""/>
    <n v="2.8"/>
    <n v="25"/>
    <n v="69"/>
    <s v="RFN - MANAUSPREV DIG PORTAB PLUS 3"/>
    <s v="1,85"/>
    <n v="1.8500000000000003E-2"/>
    <n v="2.7999999999999997E-2"/>
  </r>
  <r>
    <x v="26"/>
    <s v="795353 - Tabela 1"/>
    <n v="1.9E-2"/>
    <n v="72"/>
    <s v=""/>
    <n v="2"/>
    <n v="5"/>
    <n v="49"/>
    <s v="RFN-MARINHA DIG PORTAB PLUS 1"/>
    <n v="1.3"/>
    <n v="1.3000000000000001E-2"/>
    <n v="0.02"/>
  </r>
  <r>
    <x v="26"/>
    <s v="795352 - Tabela 2"/>
    <n v="1.8500000000000003E-2"/>
    <n v="72"/>
    <s v=""/>
    <n v="2"/>
    <n v="5"/>
    <n v="49"/>
    <s v="RFN-MARINHA DIG PORTAB PLUS 2"/>
    <n v="1.3"/>
    <n v="1.3000000000000001E-2"/>
    <n v="0.02"/>
  </r>
  <r>
    <x v="26"/>
    <s v="795355 - Tabela 3"/>
    <n v="1.7500000000000002E-2"/>
    <n v="72"/>
    <s v=""/>
    <n v="2"/>
    <n v="5"/>
    <n v="49"/>
    <s v="RFN-MARINHA DIG PORTAB PLUS 3"/>
    <n v="1.3"/>
    <n v="1.3000000000000001E-2"/>
    <n v="0.02"/>
  </r>
  <r>
    <x v="26"/>
    <s v="795357 - Tabela 4"/>
    <n v="1.61E-2"/>
    <n v="72"/>
    <s v=""/>
    <n v="2"/>
    <n v="5"/>
    <n v="49"/>
    <s v="RFN-MARINHA DIG PORTAB PLUS 4"/>
    <n v="1.3"/>
    <n v="1.3000000000000001E-2"/>
    <n v="0.02"/>
  </r>
  <r>
    <x v="27"/>
    <s v="765051 - Tabela 1"/>
    <n v="2.2499999999999999E-2"/>
    <n v="120"/>
    <s v=""/>
    <n v="2.25"/>
    <n v="10"/>
    <n v="46"/>
    <s v="RFN-PREF. FEIRA DE SANTANA DIG 1 PORTAB "/>
    <s v="1,91"/>
    <n v="1.9099999999999999E-2"/>
    <n v="2.2499999999999999E-2"/>
  </r>
  <r>
    <x v="27"/>
    <s v="765052 - Tabela 2"/>
    <n v="2.2000000000000002E-2"/>
    <n v="120"/>
    <s v=""/>
    <n v="2.25"/>
    <n v="10"/>
    <n v="56"/>
    <s v="RFN-PREF. FEIRA DE SANTANA DIG 2 PORTAB "/>
    <s v="1,91"/>
    <n v="1.9099999999999999E-2"/>
    <n v="2.2499999999999999E-2"/>
  </r>
  <r>
    <x v="27"/>
    <s v="765053 - Tabela 3"/>
    <n v="2.1600000000000001E-2"/>
    <n v="120"/>
    <s v=""/>
    <n v="2.25"/>
    <n v="10"/>
    <n v="46"/>
    <s v="RFN-PREF. FEIRA DE SANTANA DIG 3 PORTAB "/>
    <s v="1,91"/>
    <n v="1.9099999999999999E-2"/>
    <n v="2.2499999999999999E-2"/>
  </r>
  <r>
    <x v="28"/>
    <s v="765621 - Tabela 1"/>
    <n v="2.1499999999999998E-2"/>
    <n v="120"/>
    <s v=""/>
    <n v="2.4"/>
    <n v="7"/>
    <n v="51"/>
    <s v="RFN - POLICIA 1 DIG PORTABILIDADE"/>
    <s v="1,64"/>
    <n v="1.6399999999999998E-2"/>
    <n v="2.4E-2"/>
  </r>
  <r>
    <x v="28"/>
    <s v="765622 - Tabela 2"/>
    <n v="2.0499999999999997E-2"/>
    <n v="120"/>
    <s v=""/>
    <n v="2.4"/>
    <n v="7"/>
    <n v="49"/>
    <s v="RFN - POLICIA 2 DIG PORTABILIDADE"/>
    <s v="1,64"/>
    <n v="1.6399999999999998E-2"/>
    <n v="2.4E-2"/>
  </r>
  <r>
    <x v="28"/>
    <s v="765623 - Tabela 3"/>
    <n v="1.9400000000000001E-2"/>
    <n v="120"/>
    <s v=""/>
    <n v="2.4"/>
    <n v="7"/>
    <n v="42"/>
    <s v="RFN - POLICIA 3 DIG PORTABILIDADE"/>
    <s v="1,64"/>
    <n v="1.6399999999999998E-2"/>
    <n v="2.4E-2"/>
  </r>
  <r>
    <x v="28"/>
    <s v="765624 - Tabela 4"/>
    <n v="1.7899999999999999E-2"/>
    <n v="120"/>
    <s v=""/>
    <n v="2.4"/>
    <n v="7"/>
    <n v="51"/>
    <s v="RFN - POLICIA 4 DIG PORTABILIDADE"/>
    <s v="1,64"/>
    <n v="1.6399999999999998E-2"/>
    <n v="2.4E-2"/>
  </r>
  <r>
    <x v="29"/>
    <s v="705328 - Tabela 5"/>
    <n v="2.1899999999999999E-2"/>
    <n v="120"/>
    <s v=""/>
    <n v="2.5"/>
    <n v="25"/>
    <n v="59"/>
    <s v="RFN - PREF ARACAJU PORTAB 5 DIG PLUS"/>
    <s v="1,94"/>
    <n v="1.9400000000000001E-2"/>
    <n v="2.5000000000000001E-2"/>
  </r>
  <r>
    <x v="30"/>
    <s v="765101 - Tabela 1"/>
    <n v="2.2499999999999999E-2"/>
    <n v="96"/>
    <s v=""/>
    <n v="2.5"/>
    <n v="15"/>
    <n v="59"/>
    <s v="RFN - PREF DE BOA VISTA PORTAB 1 DIG"/>
    <s v="1,9"/>
    <n v="1.9E-2"/>
    <n v="2.5000000000000001E-2"/>
  </r>
  <r>
    <x v="30"/>
    <s v="765102 - Tabela 2"/>
    <n v="2.1499999999999998E-2"/>
    <n v="96"/>
    <s v=""/>
    <n v="2.5"/>
    <n v="15"/>
    <n v="64"/>
    <s v="RFN - PREF DE BOA VISTA PORTAB 2 DIG"/>
    <s v="1,9"/>
    <n v="1.9E-2"/>
    <n v="2.5000000000000001E-2"/>
  </r>
  <r>
    <x v="31"/>
    <s v="215000 - Tabela 1"/>
    <n v="2.1000000000000001E-2"/>
    <n v="120"/>
    <s v=""/>
    <n v="2.1"/>
    <n v="20"/>
    <n v="50"/>
    <s v="RFN - PREF CAMPO GRANDE PORTAB 1 DIG"/>
    <s v="1,8"/>
    <n v="1.8000000000000002E-2"/>
    <n v="2.1000000000000001E-2"/>
  </r>
  <r>
    <x v="32"/>
    <s v="881108 - Tabela 5"/>
    <n v="2.2499999999999999E-2"/>
    <n v="120"/>
    <s v=""/>
    <n v="2.5"/>
    <n v="10"/>
    <n v="46"/>
    <s v="RFN - PREF CAMAÇARI PORTAB 5 DIG"/>
    <s v="2"/>
    <n v="0.02"/>
    <n v="2.5000000000000001E-2"/>
  </r>
  <r>
    <x v="33"/>
    <s v="715171 - Tabela 1"/>
    <n v="1.9E-2"/>
    <n v="120"/>
    <s v=""/>
    <n v="2.2000000000000002"/>
    <n v="30"/>
    <n v="69"/>
    <s v="RFN - PREF CUIABA DIG 1 PORTAB"/>
    <s v="1,65"/>
    <n v="1.6500000000000001E-2"/>
    <n v="2.2000000000000002E-2"/>
  </r>
  <r>
    <x v="34"/>
    <s v="745096 - Tabela 1"/>
    <n v="1.9E-2"/>
    <n v="120"/>
    <s v=""/>
    <n v="2.1"/>
    <n v="10"/>
    <n v="40"/>
    <s v="RFN - PREF FLORIPA PORTAB 1 DIG"/>
    <s v="1,4"/>
    <n v="1.3999999999999999E-2"/>
    <n v="2.1000000000000001E-2"/>
  </r>
  <r>
    <x v="34"/>
    <s v="745097 - Tabela 1"/>
    <n v="1.9E-2"/>
    <n v="120"/>
    <s v=""/>
    <n v="2.1"/>
    <n v="10"/>
    <n v="43"/>
    <s v="RFN - PREF FLORIPA PORTAB 1 DIG AROS"/>
    <s v="1,4"/>
    <n v="1.3999999999999999E-2"/>
    <n v="2.1000000000000001E-2"/>
  </r>
  <r>
    <x v="34"/>
    <s v="745098 - Tabela 2"/>
    <n v="1.8000000000000002E-2"/>
    <n v="120"/>
    <s v=""/>
    <n v="2.1"/>
    <n v="10"/>
    <n v="46"/>
    <s v="RFN - PREF FLORIPA PORTAB 2 DIG"/>
    <s v="1,4"/>
    <n v="1.3999999999999999E-2"/>
    <n v="2.1000000000000001E-2"/>
  </r>
  <r>
    <x v="35"/>
    <s v="765120 - Tabela 1"/>
    <n v="2.3399999999999997E-2"/>
    <n v="120"/>
    <s v=""/>
    <n v="2.34"/>
    <n v="10"/>
    <n v="47"/>
    <s v="RFN - PREF FORTALEZA DIG PORTABILIDADE 1"/>
    <s v="1,29"/>
    <n v="1.29E-2"/>
    <n v="2.3399999999999997E-2"/>
  </r>
  <r>
    <x v="35"/>
    <s v="765121 - Tabela 2"/>
    <n v="2.2400000000000003E-2"/>
    <n v="120"/>
    <s v=""/>
    <n v="2.34"/>
    <n v="10"/>
    <n v="53"/>
    <s v="RFN - PREF FORTALEZA DIG PORTABILIDADE 2"/>
    <s v="1,29"/>
    <n v="1.29E-2"/>
    <n v="2.3399999999999997E-2"/>
  </r>
  <r>
    <x v="35"/>
    <s v="765122 - Tabela 3"/>
    <n v="2.1400000000000002E-2"/>
    <n v="120"/>
    <s v=""/>
    <n v="2.34"/>
    <n v="10"/>
    <n v="35"/>
    <s v="RFN - PREF FORTALEZA DIG PORTABILIDADE 3"/>
    <s v="1,29"/>
    <n v="1.29E-2"/>
    <n v="2.3399999999999997E-2"/>
  </r>
  <r>
    <x v="35"/>
    <s v="765123 - Tabela 4"/>
    <n v="2.0400000000000001E-2"/>
    <n v="120"/>
    <s v=""/>
    <n v="2.34"/>
    <n v="10"/>
    <n v="34"/>
    <s v="RFN - PREF FORTALEZA DIG PORTABILIDADE 4"/>
    <s v="1,29"/>
    <n v="1.29E-2"/>
    <n v="2.3399999999999997E-2"/>
  </r>
  <r>
    <x v="35"/>
    <s v="765134 - Tabela 5"/>
    <n v="1.9400000000000001E-2"/>
    <n v="120"/>
    <s v=""/>
    <n v="2.34"/>
    <n v="10"/>
    <n v="43"/>
    <s v="RFN - PREF FORTALEZA DIG PORTABILIDADE 5"/>
    <s v="1,29"/>
    <n v="1.29E-2"/>
    <n v="2.3399999999999997E-2"/>
  </r>
  <r>
    <x v="35"/>
    <s v="765135 - Tabela 6"/>
    <n v="1.84E-2"/>
    <n v="120"/>
    <s v=""/>
    <n v="2.34"/>
    <n v="10"/>
    <n v="44"/>
    <s v="RFN - PREF FORTALEZA DIG PORTABILIDADE 6"/>
    <s v="1,29"/>
    <n v="1.29E-2"/>
    <n v="2.3399999999999997E-2"/>
  </r>
  <r>
    <x v="36"/>
    <s v="745407 - Tabela 1"/>
    <n v="2.4500000000000001E-2"/>
    <n v="96"/>
    <s v=""/>
    <n v="2.4500000000000002"/>
    <n v="25"/>
    <n v="64"/>
    <s v="RFN - PREF GOIANIA DIG PORTABILIDADE 1"/>
    <s v="2,2"/>
    <n v="2.2000000000000002E-2"/>
    <n v="2.4500000000000001E-2"/>
  </r>
  <r>
    <x v="37"/>
    <s v="745745 - Tabela 3"/>
    <n v="2.3E-2"/>
    <n v="120"/>
    <s v=""/>
    <n v="2.6"/>
    <n v="20"/>
    <n v="63"/>
    <s v="RFN - PREF GRAVATAI DIG PORTAB 3 PLUS"/>
    <s v="1,9"/>
    <n v="1.9E-2"/>
    <n v="2.6000000000000002E-2"/>
  </r>
  <r>
    <x v="37"/>
    <s v="745746 - Tabela 3"/>
    <n v="2.3E-2"/>
    <n v="120"/>
    <s v=""/>
    <n v="2.6"/>
    <n v="20"/>
    <n v="41"/>
    <s v="RFN - PREF GRAVATAI DIG PORTAB 3 CLT PLU"/>
    <s v="1,9"/>
    <n v="1.9E-2"/>
    <n v="2.6000000000000002E-2"/>
  </r>
  <r>
    <x v="37"/>
    <s v="745747 - Tabela 4"/>
    <n v="2.1499999999999998E-2"/>
    <n v="120"/>
    <s v=""/>
    <n v="2.6"/>
    <n v="20"/>
    <n v="46"/>
    <s v="RFN - PREF GRAVATAI DIG PORTAB 4 PLUS"/>
    <s v="1,9"/>
    <n v="1.9E-2"/>
    <n v="2.6000000000000002E-2"/>
  </r>
  <r>
    <x v="38"/>
    <s v="720002 - Tabela 3"/>
    <n v="1.9900000000000001E-2"/>
    <n v="84"/>
    <s v=""/>
    <n v="2.19"/>
    <n v="10"/>
    <n v="49"/>
    <s v="RFN - PREF. GUARUJA PORTABILIDADE 3"/>
    <s v="1,74"/>
    <n v="1.7399999999999999E-2"/>
    <n v="2.1899999999999999E-2"/>
  </r>
  <r>
    <x v="39"/>
    <s v="795603 - Tabela 2"/>
    <n v="2.2700000000000001E-2"/>
    <n v="120"/>
    <s v=""/>
    <n v="2.37"/>
    <n v="10"/>
    <n v="40"/>
    <s v="RFN - PREF. GUARULHOS DIG 2 PORTAB"/>
    <s v="1,74"/>
    <n v="1.7399999999999999E-2"/>
    <n v="2.3700000000000002E-2"/>
  </r>
  <r>
    <x v="39"/>
    <s v="795605 - Tabela 3"/>
    <n v="2.1700000000000001E-2"/>
    <n v="120"/>
    <s v=""/>
    <n v="2.37"/>
    <n v="10"/>
    <n v="48"/>
    <s v="RFN - PREF. GUARULHOS DIG 3 PORTAB"/>
    <s v="1,74"/>
    <n v="1.7399999999999999E-2"/>
    <n v="2.3700000000000002E-2"/>
  </r>
  <r>
    <x v="39"/>
    <s v="795607 - Tabela 4"/>
    <n v="2.07E-2"/>
    <n v="120"/>
    <s v=""/>
    <n v="2.37"/>
    <n v="10"/>
    <n v="51"/>
    <s v="RFN - PREF. GUARULHOS DIG 4 PORTAB"/>
    <s v="1,74"/>
    <n v="1.7399999999999999E-2"/>
    <n v="2.3700000000000002E-2"/>
  </r>
  <r>
    <x v="39"/>
    <s v="795608 - Tabela 5"/>
    <n v="1.9900000000000001E-2"/>
    <n v="120"/>
    <s v=""/>
    <n v="2.37"/>
    <n v="10"/>
    <n v="43"/>
    <s v="RFN - PREF. GUARULHOS DIG 5 PORTAB"/>
    <s v="1,74"/>
    <n v="1.7399999999999999E-2"/>
    <n v="2.3700000000000002E-2"/>
  </r>
  <r>
    <x v="40"/>
    <s v="745882 - Tabela 2"/>
    <n v="2.0899999999999998E-2"/>
    <n v="120"/>
    <s v=""/>
    <n v="2.19"/>
    <n v="15"/>
    <n v="33"/>
    <s v="RFN - PREF. ITANHAEM DIG 2 PORTAB"/>
    <s v="1,64"/>
    <n v="1.6399999999999998E-2"/>
    <n v="2.1899999999999999E-2"/>
  </r>
  <r>
    <x v="41"/>
    <s v="795161 - Tabela 1"/>
    <n v="1.8500000000000003E-2"/>
    <n v="120"/>
    <s v=""/>
    <n v="2.4"/>
    <n v="20"/>
    <n v="70"/>
    <s v="RFN - PREF. JUIZ DE FORA PORTAB 1 DIG"/>
    <s v="1,65"/>
    <n v="1.6500000000000001E-2"/>
    <n v="2.4E-2"/>
  </r>
  <r>
    <x v="42"/>
    <s v="793281 - Tabela 1"/>
    <n v="2.5499999999999998E-2"/>
    <n v="96"/>
    <s v=""/>
    <n v="2.5"/>
    <n v="20"/>
    <n v="68"/>
    <s v="RFN - PREF. MANAUS DIG 1 PORTAB"/>
    <s v="2,1"/>
    <n v="2.1000000000000001E-2"/>
    <n v="2.5000000000000001E-2"/>
  </r>
  <r>
    <x v="42"/>
    <s v="793282 - Tabela 2"/>
    <n v="2.4500000000000001E-2"/>
    <n v="96"/>
    <s v=""/>
    <n v="2.5"/>
    <n v="20"/>
    <n v="61"/>
    <s v="RFN - PREF. MANAUS DIG 2 PORTAB"/>
    <s v="2,1"/>
    <n v="2.1000000000000001E-2"/>
    <n v="2.5000000000000001E-2"/>
  </r>
  <r>
    <x v="42"/>
    <s v="793283 - Tabela 3"/>
    <n v="2.35E-2"/>
    <n v="96"/>
    <s v=""/>
    <n v="2.5"/>
    <n v="20"/>
    <n v="63"/>
    <s v="RFN - PREF. MANAUS DIG 3 PORTAB"/>
    <s v="2,1"/>
    <n v="2.1000000000000001E-2"/>
    <n v="2.5000000000000001E-2"/>
  </r>
  <r>
    <x v="43"/>
    <s v="705481 - Tabela 1"/>
    <n v="2.2499999999999999E-2"/>
    <n v="120"/>
    <s v=""/>
    <n v="5"/>
    <n v="20"/>
    <n v="55"/>
    <s v="RFN - PREF OLINDA DIG PORTAB 1"/>
    <s v="2"/>
    <n v="0.02"/>
    <n v="0.05"/>
  </r>
  <r>
    <x v="44"/>
    <s v="795543 - Tabela 3"/>
    <n v="1.9900000000000001E-2"/>
    <n v="120"/>
    <s v=""/>
    <n v="2.19"/>
    <n v="15"/>
    <n v="41"/>
    <s v="RFN - PREF. PERUIBE DIG 3 PORTAB"/>
    <s v="1,74"/>
    <n v="1.7399999999999999E-2"/>
    <n v="2.1899999999999999E-2"/>
  </r>
  <r>
    <x v="45"/>
    <s v="755071 - Tabela 1"/>
    <n v="2.0899999999999998E-2"/>
    <n v="96"/>
    <s v=""/>
    <n v="2.09"/>
    <n v="15"/>
    <n v="65"/>
    <s v="RFN - PREF PRAIA GRANDE DIG 1 PORTAB"/>
    <s v="1,67"/>
    <n v="1.67E-2"/>
    <n v="2.0899999999999998E-2"/>
  </r>
  <r>
    <x v="45"/>
    <s v="755072 - Tabela 2"/>
    <n v="1.9900000000000001E-2"/>
    <n v="96"/>
    <s v=""/>
    <n v="2.09"/>
    <n v="15"/>
    <n v="50"/>
    <s v="RFN - PREF PRAIA GRANDE DIG 2 PORTAB"/>
    <s v="1,67"/>
    <n v="1.67E-2"/>
    <n v="2.0899999999999998E-2"/>
  </r>
  <r>
    <x v="45"/>
    <s v="755073 - Tabela 3"/>
    <n v="1.9199999999999998E-2"/>
    <n v="96"/>
    <s v=""/>
    <n v="2.09"/>
    <n v="15"/>
    <n v="49"/>
    <s v="RFN - PREF PRAIA GRANDE DIG 3 PORTAB"/>
    <s v="1,67"/>
    <n v="1.67E-2"/>
    <n v="2.0899999999999998E-2"/>
  </r>
  <r>
    <x v="46"/>
    <s v="775757 - Tabela 1"/>
    <n v="1.95E-2"/>
    <n v="120"/>
    <s v=""/>
    <n v="1.95"/>
    <n v="10"/>
    <n v="44"/>
    <s v="RFN - PREF SAO JOSE SC PORTAB 1 DIG"/>
    <s v="1,65"/>
    <n v="1.6500000000000001E-2"/>
    <n v="1.95E-2"/>
  </r>
  <r>
    <x v="47"/>
    <s v="705231 - Tabela 1"/>
    <n v="2.2000000000000002E-2"/>
    <n v="120"/>
    <s v=""/>
    <n v="2.2000000000000002"/>
    <n v="10"/>
    <n v="50"/>
    <s v="RFN - PREF SALVADOR DIG EST 1 PORTAB"/>
    <s v="1,53"/>
    <n v="1.5300000000000001E-2"/>
    <n v="2.2000000000000002E-2"/>
  </r>
  <r>
    <x v="47"/>
    <s v="705237 - Tabela 3"/>
    <n v="0.02"/>
    <n v="120"/>
    <s v=""/>
    <n v="2.2000000000000002"/>
    <n v="10"/>
    <n v="50"/>
    <s v="RFN - PREF SALVADOR DIG ESTATUT 3 PORTAB"/>
    <s v="1,53"/>
    <n v="1.5300000000000001E-2"/>
    <n v="2.2000000000000002E-2"/>
  </r>
  <r>
    <x v="47"/>
    <s v="705242 - Tabela 4"/>
    <n v="1.9E-2"/>
    <n v="120"/>
    <s v=""/>
    <n v="2.2000000000000002"/>
    <n v="10"/>
    <n v="50"/>
    <s v="RFN - PREF. SALVADOR DIG INAT 4 PORTAB"/>
    <s v="1,53"/>
    <n v="1.5300000000000001E-2"/>
    <n v="2.2000000000000002E-2"/>
  </r>
  <r>
    <x v="47"/>
    <s v="705243 - Tabela 5"/>
    <n v="1.8500000000000003E-2"/>
    <n v="120"/>
    <s v=""/>
    <n v="2.2000000000000002"/>
    <n v="10"/>
    <n v="50"/>
    <s v="RFN - PREF SALVADOR DIG ESTATUT 5 PORTAB"/>
    <s v="1,53"/>
    <n v="1.5300000000000001E-2"/>
    <n v="2.2000000000000002E-2"/>
  </r>
  <r>
    <x v="47"/>
    <s v="705245 - Tabela 5"/>
    <n v="1.8500000000000003E-2"/>
    <n v="120"/>
    <s v=""/>
    <n v="2.2000000000000002"/>
    <n v="10"/>
    <n v="50"/>
    <s v="RFN - PREF SALVADOR DIG EST 5 PORTAB"/>
    <s v="1,53"/>
    <n v="1.5300000000000001E-2"/>
    <n v="2.2000000000000002E-2"/>
  </r>
  <r>
    <x v="47"/>
    <s v="705246 - Tabela 6"/>
    <n v="1.8000000000000002E-2"/>
    <n v="120"/>
    <s v=""/>
    <n v="2.2000000000000002"/>
    <n v="10"/>
    <n v="50"/>
    <s v="RFN - PREF SALVADOR DIG ESTATUT 6 PORTAB"/>
    <s v="1,53"/>
    <n v="1.5300000000000001E-2"/>
    <n v="2.2000000000000002E-2"/>
  </r>
  <r>
    <x v="47"/>
    <s v="705248 - Tabela 6"/>
    <n v="1.8000000000000002E-2"/>
    <n v="120"/>
    <s v=""/>
    <n v="2.2000000000000002"/>
    <n v="10"/>
    <n v="50"/>
    <s v="RFN - PREF SALVADOR DIG EST 6 PORTAB"/>
    <s v="1,53"/>
    <n v="1.5300000000000001E-2"/>
    <n v="2.2000000000000002E-2"/>
  </r>
  <r>
    <x v="47"/>
    <s v="705249 - Tabela 7"/>
    <n v="1.78E-2"/>
    <n v="120"/>
    <s v=""/>
    <n v="2.2000000000000002"/>
    <n v="10"/>
    <n v="50"/>
    <s v="RFN - PREF SALVADOR DIG ESTATUT 7 PORTAB"/>
    <s v="1,53"/>
    <n v="1.5300000000000001E-2"/>
    <n v="2.2000000000000002E-2"/>
  </r>
  <r>
    <x v="47"/>
    <s v="705251 - Tabela 7"/>
    <n v="1.78E-2"/>
    <n v="120"/>
    <s v=""/>
    <n v="2.2000000000000002"/>
    <n v="10"/>
    <n v="50"/>
    <s v="RFN - PREF SALVADOR DIG EST 7 PORTAB"/>
    <s v="1,53"/>
    <n v="1.5300000000000001E-2"/>
    <n v="2.2000000000000002E-2"/>
  </r>
  <r>
    <x v="48"/>
    <s v="745681 - Tabela "/>
    <n v="1.8500000000000003E-2"/>
    <n v="120"/>
    <s v=""/>
    <n v="2"/>
    <n v="15"/>
    <n v="61"/>
    <s v="RFN - PREF SAO JOSE PINHAIS DIG PORTAB"/>
    <s v="1,6"/>
    <n v="1.6E-2"/>
    <n v="0.02"/>
  </r>
  <r>
    <x v="49"/>
    <s v="785121 - Tabela 1"/>
    <n v="1.9599999999999999E-2"/>
    <n v="120"/>
    <s v=""/>
    <n v="2.1"/>
    <n v="15"/>
    <n v="50"/>
    <s v="RFN - PREF SOROCABA 1 DIG PORTAB"/>
    <s v="1,71"/>
    <n v="1.7100000000000001E-2"/>
    <n v="2.1000000000000001E-2"/>
  </r>
  <r>
    <x v="50"/>
    <s v="795921 - Tabela 1"/>
    <n v="1.95E-2"/>
    <n v="96"/>
    <s v=""/>
    <n v="1.95"/>
    <n v="15"/>
    <n v="57"/>
    <s v="RFN - PREF SP DIG PORTAB 1"/>
    <s v="1,19"/>
    <n v="1.1899999999999999E-2"/>
    <n v="1.95E-2"/>
  </r>
  <r>
    <x v="50"/>
    <s v="795925 - Tabela 2"/>
    <n v="1.8500000000000003E-2"/>
    <n v="96"/>
    <s v=""/>
    <n v="1.95"/>
    <n v="15"/>
    <n v="57"/>
    <s v="RFN - PREF SP DIG PORTAB 2"/>
    <s v="1,19"/>
    <n v="1.1899999999999999E-2"/>
    <n v="1.95E-2"/>
  </r>
  <r>
    <x v="50"/>
    <s v="795926 - Tabela 3"/>
    <n v="1.7399999999999999E-2"/>
    <n v="96"/>
    <s v=""/>
    <n v="1.95"/>
    <n v="15"/>
    <n v="57"/>
    <s v="RFN - PREF SP DIG PORTAB 3"/>
    <s v="1,19"/>
    <n v="1.1899999999999999E-2"/>
    <n v="1.95E-2"/>
  </r>
  <r>
    <x v="50"/>
    <s v="795927 - Tabela 4"/>
    <n v="1.6899999999999998E-2"/>
    <n v="96"/>
    <s v=""/>
    <n v="1.95"/>
    <n v="15"/>
    <n v="57"/>
    <s v="RFN - PREF SP DIG PORTAB 4"/>
    <s v="1,19"/>
    <n v="1.1899999999999999E-2"/>
    <n v="1.95E-2"/>
  </r>
  <r>
    <x v="51"/>
    <s v="725062 - Tabela 2"/>
    <n v="1.9900000000000001E-2"/>
    <n v="96"/>
    <s v=""/>
    <n v="2.4"/>
    <n v="10"/>
    <n v="87"/>
    <s v="RFN - PREF UBERABA DIG 2 PORTAB PLUS"/>
    <s v="1,6"/>
    <n v="1.6E-2"/>
    <n v="2.4E-2"/>
  </r>
  <r>
    <x v="51"/>
    <s v="725063 - Tabela 3"/>
    <n v="1.89E-2"/>
    <n v="96"/>
    <s v=""/>
    <n v="2.4"/>
    <n v="10"/>
    <n v="86"/>
    <s v="RFN - PREF UBERABA DIG 3 PORTAB PLUS"/>
    <s v="1,6"/>
    <n v="1.6E-2"/>
    <n v="2.4E-2"/>
  </r>
  <r>
    <x v="52"/>
    <s v="785621 - Tabela 1"/>
    <n v="2.4900000000000002E-2"/>
    <n v="96"/>
    <s v=""/>
    <n v="2.48"/>
    <n v="10"/>
    <n v="50"/>
    <s v="RFN - PREF AQUIRAZ PORTAB 1 DIG"/>
    <s v="1,73"/>
    <n v="1.7299999999999999E-2"/>
    <n v="2.4799999999999999E-2"/>
  </r>
  <r>
    <x v="52"/>
    <s v="785622 - Tabela 2"/>
    <n v="2.3900000000000001E-2"/>
    <n v="96"/>
    <s v=""/>
    <n v="2.48"/>
    <n v="10"/>
    <n v="50"/>
    <s v="RFN - PREF AQUIRAZ PORTAB 2 DIG"/>
    <s v="1,73"/>
    <n v="1.7299999999999999E-2"/>
    <n v="2.4799999999999999E-2"/>
  </r>
  <r>
    <x v="52"/>
    <s v="785623 - Tabela 3"/>
    <n v="2.29E-2"/>
    <n v="96"/>
    <s v=""/>
    <n v="2.48"/>
    <n v="10"/>
    <n v="50"/>
    <s v="RFN - PREF AQUIRAZ PORTAB 3 DIG"/>
    <s v="1,73"/>
    <n v="1.7299999999999999E-2"/>
    <n v="2.4799999999999999E-2"/>
  </r>
  <r>
    <x v="52"/>
    <s v="785634 - Tabela 4"/>
    <n v="2.1899999999999999E-2"/>
    <n v="96"/>
    <s v=""/>
    <n v="2.48"/>
    <n v="10"/>
    <n v="50"/>
    <s v="RFN - PREF AQUIRAZ PORTAB 4 DIG "/>
    <s v="1,73"/>
    <n v="1.7299999999999999E-2"/>
    <n v="2.4799999999999999E-2"/>
  </r>
  <r>
    <x v="52"/>
    <s v="785635 - Tabela 5"/>
    <n v="2.0899999999999998E-2"/>
    <n v="96"/>
    <s v=""/>
    <n v="2.48"/>
    <n v="10"/>
    <n v="50"/>
    <s v="RFN - PREF AQUIRAZ PORTAB 5 DIG "/>
    <s v="1,73"/>
    <n v="1.7299999999999999E-2"/>
    <n v="2.4799999999999999E-2"/>
  </r>
  <r>
    <x v="52"/>
    <s v="785636 - Tabela 6"/>
    <n v="1.9900000000000001E-2"/>
    <n v="96"/>
    <s v=""/>
    <n v="2.48"/>
    <n v="10"/>
    <n v="50"/>
    <s v="RFN - PREF AQUIRAZ PORTAB 6 DIG "/>
    <s v="1,73"/>
    <n v="1.7299999999999999E-2"/>
    <n v="2.4799999999999999E-2"/>
  </r>
  <r>
    <x v="53"/>
    <s v="350013 - Tabela 1"/>
    <n v="2.23E-2"/>
    <n v="120"/>
    <s v=""/>
    <m/>
    <n v="25"/>
    <n v="67"/>
    <s v="RFN - PREF. ARACRUZ DIG 1 PORTAB"/>
    <m/>
    <n v="0"/>
    <n v="0"/>
  </r>
  <r>
    <x v="54"/>
    <s v="795061 - Tabela 1"/>
    <n v="2.1499999999999998E-2"/>
    <n v="120"/>
    <s v=""/>
    <n v="2.4"/>
    <n v="25"/>
    <n v="67"/>
    <s v="RFN - PREF. BH DIG 1 PORTAB"/>
    <s v="1,75"/>
    <n v="1.7500000000000002E-2"/>
    <n v="2.4E-2"/>
  </r>
  <r>
    <x v="54"/>
    <s v="795067 - Tabela 2"/>
    <n v="0.02"/>
    <n v="120"/>
    <s v=""/>
    <n v="2.4"/>
    <n v="25"/>
    <n v="64"/>
    <s v="RFN - PREF. BH DIG 2 PORTAB"/>
    <s v="1,75"/>
    <n v="1.7500000000000002E-2"/>
    <n v="2.4E-2"/>
  </r>
  <r>
    <x v="55"/>
    <s v="795076 - Tabela 6"/>
    <n v="1.8100000000000002E-2"/>
    <n v="120"/>
    <s v=""/>
    <n v="2.31"/>
    <n v="20"/>
    <n v="54"/>
    <s v="RFN - PREF SOBRAL 6 DIG PORTAB"/>
    <s v="1,56"/>
    <n v="1.5600000000000001E-2"/>
    <n v="2.3099999999999999E-2"/>
  </r>
  <r>
    <x v="56"/>
    <s v="765601 - Tabela 1"/>
    <n v="2.1499999999999998E-2"/>
    <n v="120"/>
    <s v=""/>
    <n v="2.4"/>
    <n v="7"/>
    <n v="44"/>
    <s v="RFN - SEPLAG 1 DIG PORTABILIDADE"/>
    <s v="1,34"/>
    <n v="1.34E-2"/>
    <n v="2.4E-2"/>
  </r>
  <r>
    <x v="56"/>
    <s v="765602 - Tabela 2"/>
    <n v="2.0499999999999997E-2"/>
    <n v="120"/>
    <s v=""/>
    <n v="2.4"/>
    <n v="7"/>
    <n v="44"/>
    <s v="RFN - SEPLAG 2 DIG PORTABILIDADE"/>
    <s v="1,34"/>
    <n v="1.34E-2"/>
    <n v="2.4E-2"/>
  </r>
  <r>
    <x v="56"/>
    <s v="765603 - Tabela 3"/>
    <n v="1.9400000000000001E-2"/>
    <n v="120"/>
    <s v=""/>
    <n v="2.4"/>
    <n v="7"/>
    <n v="43"/>
    <s v="RFN - SEPLAG 3 DIG PORTABILIDADE"/>
    <s v="1,34"/>
    <n v="1.34E-2"/>
    <n v="2.4E-2"/>
  </r>
  <r>
    <x v="56"/>
    <s v="765604 - Tabela 4"/>
    <n v="1.7899999999999999E-2"/>
    <n v="120"/>
    <s v=""/>
    <n v="2.4"/>
    <n v="7"/>
    <n v="44"/>
    <s v="RFN - SEPLAG 4 DIG PORTABILIDADE"/>
    <s v="1,34"/>
    <n v="1.34E-2"/>
    <n v="2.4E-2"/>
  </r>
  <r>
    <x v="57"/>
    <s v="795826 - Tabela 1"/>
    <n v="2.0099999999999996E-2"/>
    <n v="96"/>
    <s v=""/>
    <n v="2.0499999999999998"/>
    <n v="15"/>
    <n v="51"/>
    <s v="RFN - SIAPE FED DIG PORTAB 1 PLUS"/>
    <s v="1,29"/>
    <n v="1.29E-2"/>
    <n v="2.0499999999999997E-2"/>
  </r>
  <r>
    <x v="57"/>
    <s v="795827 - Tabela 2"/>
    <n v="1.9099999999999999E-2"/>
    <n v="96"/>
    <s v=""/>
    <n v="2.0499999999999998"/>
    <n v="15"/>
    <n v="51"/>
    <s v="RFN - SIAPE FED DIG PORTAB 2 PLUS"/>
    <s v="1,29"/>
    <n v="1.29E-2"/>
    <n v="2.0499999999999997E-2"/>
  </r>
  <r>
    <x v="57"/>
    <s v="795828 - Tabela 3"/>
    <n v="1.8100000000000002E-2"/>
    <n v="96"/>
    <s v=""/>
    <n v="2.0499999999999998"/>
    <n v="15"/>
    <n v="51"/>
    <s v="RFN - SIAPE FED DIG PORTAB 3 PLUS"/>
    <s v="1,29"/>
    <n v="1.29E-2"/>
    <n v="2.0499999999999997E-2"/>
  </r>
  <r>
    <x v="58"/>
    <s v="715863 - Tabela 3"/>
    <n v="0.02"/>
    <n v="120"/>
    <s v=""/>
    <n v="2.2000000000000002"/>
    <n v="1"/>
    <n v="41"/>
    <s v="RFN - TJ - BAHIA 3 DIG PORTAB"/>
    <s v="1,5"/>
    <n v="1.4999999999999999E-2"/>
    <n v="2.2000000000000002E-2"/>
  </r>
  <r>
    <x v="59"/>
    <s v="901063 - Tabela 1"/>
    <n v="2.2200000000000001E-2"/>
    <n v="96"/>
    <s v=""/>
    <n v="2.2200000000000002"/>
    <n v="10"/>
    <n v="27"/>
    <s v="RFN - TJ SP PORTAB 1 DIG SERVIDOR"/>
    <s v="1,75"/>
    <n v="1.7500000000000002E-2"/>
    <n v="2.2200000000000001E-2"/>
  </r>
  <r>
    <x v="59"/>
    <s v="901059 - Tabela 2"/>
    <n v="2.1000000000000001E-2"/>
    <n v="96"/>
    <s v=""/>
    <n v="2.2200000000000002"/>
    <n v="10"/>
    <n v="27"/>
    <s v="RFN - TJ SP PORTAB 2 DIG SERVIDOR"/>
    <s v="1,75"/>
    <n v="1.7500000000000002E-2"/>
    <n v="2.2200000000000001E-2"/>
  </r>
  <r>
    <x v="59"/>
    <s v="901064 - Tabela 3"/>
    <n v="0.02"/>
    <n v="96"/>
    <s v=""/>
    <n v="2.2200000000000002"/>
    <n v="10"/>
    <n v="27"/>
    <s v="RFN - TJ SP PORTAB 3 DIG SERVIDOR"/>
    <s v="1,75"/>
    <n v="1.7500000000000002E-2"/>
    <n v="2.2200000000000001E-2"/>
  </r>
  <r>
    <x v="59"/>
    <s v="901068 - Tabela 3"/>
    <n v="0.02"/>
    <n v="96"/>
    <s v=""/>
    <n v="2.2200000000000002"/>
    <n v="10"/>
    <n v="27"/>
    <s v="RFN - TJ SP PORTAB 3 DIG MAGISTRADO"/>
    <s v="1,75"/>
    <n v="1.7500000000000002E-2"/>
    <n v="2.2200000000000001E-2"/>
  </r>
  <r>
    <x v="60"/>
    <s v="725543 - Tabela 2"/>
    <n v="2.1000000000000001E-2"/>
    <n v="96"/>
    <s v=""/>
    <n v="2.25"/>
    <n v="15"/>
    <n v="44"/>
    <s v="RFN - USP PORTAB 2 DIG"/>
    <s v="1,89"/>
    <n v="1.89E-2"/>
    <n v="2.2499999999999999E-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BE58CC3-6349-478C-80AE-C3A0B85C04D8}" name="Tabela dinâmica2" cacheId="2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FF10:FJ72" firstHeaderRow="0" firstDataRow="1" firstDataCol="1"/>
  <pivotFields count="12">
    <pivotField axis="axisRow" showAll="0" sortType="ascending">
      <items count="6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m="1" x="64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m="1" x="62"/>
        <item x="29"/>
        <item x="30"/>
        <item x="31"/>
        <item x="32"/>
        <item m="1" x="63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m="1" x="61"/>
        <item t="default"/>
      </items>
    </pivotField>
    <pivotField showAll="0"/>
    <pivotField dataField="1" showAll="0"/>
    <pivotField dataField="1" showAll="0"/>
    <pivotField showAll="0"/>
    <pivotField showAll="0"/>
    <pivotField showAll="0"/>
    <pivotField showAll="0"/>
    <pivotField showAll="0"/>
    <pivotField showAll="0"/>
    <pivotField dataField="1" showAll="0"/>
    <pivotField dataField="1" numFmtId="10" showAll="0"/>
  </pivotFields>
  <rowFields count="1">
    <field x="0"/>
  </rowFields>
  <rowItems count="6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1"/>
    </i>
    <i>
      <x v="32"/>
    </i>
    <i>
      <x v="33"/>
    </i>
    <i>
      <x v="34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dataFields count="4">
    <dataField name="Máx. de TETO_COMERCIAL_%" fld="11" subtotal="max" baseField="0" baseItem="2"/>
    <dataField name="Máx. de PRAZO" fld="3" subtotal="max" baseField="1" baseItem="7"/>
    <dataField name="Mín. de TAXA" fld="2" subtotal="min" baseField="1" baseItem="7"/>
    <dataField name="Máx. de minport_%" fld="10" subtotal="max" baseField="0" baseItem="2" numFmtId="10"/>
  </dataFields>
  <formats count="7">
    <format dxfId="53">
      <pivotArea type="all" dataOnly="0" outline="0" fieldPosition="0"/>
    </format>
    <format dxfId="52">
      <pivotArea outline="0" collapsedLevelsAreSubtotals="1" fieldPosition="0"/>
    </format>
    <format dxfId="51">
      <pivotArea dataOnly="0" labelOnly="1" outline="0" fieldPosition="0">
        <references count="1">
          <reference field="4294967294" count="4">
            <x v="0"/>
            <x v="1"/>
            <x v="2"/>
            <x v="3"/>
          </reference>
        </references>
      </pivotArea>
    </format>
    <format dxfId="50">
      <pivotArea field="0" type="button" dataOnly="0" labelOnly="1" outline="0" axis="axisRow" fieldPosition="0"/>
    </format>
    <format dxfId="49">
      <pivotArea dataOnly="0" labelOnly="1" fieldPosition="0">
        <references count="1">
          <reference field="0" count="50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1"/>
            <x v="32"/>
            <x v="34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49"/>
            <x v="50"/>
            <x v="53"/>
            <x v="54"/>
            <x v="56"/>
          </reference>
        </references>
      </pivotArea>
    </format>
    <format dxfId="48">
      <pivotArea dataOnly="0" labelOnly="1" fieldPosition="0">
        <references count="1">
          <reference field="0" count="7">
            <x v="57"/>
            <x v="58"/>
            <x v="59"/>
            <x v="60"/>
            <x v="61"/>
            <x v="62"/>
            <x v="63"/>
          </reference>
        </references>
      </pivotArea>
    </format>
    <format dxfId="47">
      <pivotArea dataOnly="0" labelOnly="1" grandRow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3B8ECEC-F809-4E1D-B158-3974FAABE66C}" name="Tabela dinâmica1" cacheId="2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BU22:BV84" firstHeaderRow="1" firstDataRow="1" firstDataCol="1"/>
  <pivotFields count="12">
    <pivotField axis="axisRow" showAll="0" sortType="ascending">
      <items count="6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m="1" x="64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m="1" x="62"/>
        <item x="29"/>
        <item x="30"/>
        <item x="31"/>
        <item x="32"/>
        <item m="1" x="63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m="1" x="61"/>
        <item t="default"/>
      </items>
    </pivotField>
    <pivotField showAll="0"/>
    <pivotField showAll="0"/>
    <pivotField showAll="0"/>
    <pivotField showAll="0"/>
    <pivotField showAll="0"/>
    <pivotField showAll="0"/>
    <pivotField dataField="1" showAll="0"/>
    <pivotField showAll="0"/>
    <pivotField showAll="0"/>
    <pivotField showAll="0"/>
    <pivotField numFmtId="10" showAll="0"/>
  </pivotFields>
  <rowFields count="1">
    <field x="0"/>
  </rowFields>
  <rowItems count="6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1"/>
    </i>
    <i>
      <x v="32"/>
    </i>
    <i>
      <x v="33"/>
    </i>
    <i>
      <x v="34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 t="grand">
      <x/>
    </i>
  </rowItems>
  <colItems count="1">
    <i/>
  </colItems>
  <dataFields count="1">
    <dataField name="Média de CARENCIA_FINAL" fld="7" subtotal="average" baseField="0" baseItem="3"/>
  </dataFields>
  <formats count="7">
    <format dxfId="15">
      <pivotArea type="all" dataOnly="0" outline="0" fieldPosition="0"/>
    </format>
    <format dxfId="14">
      <pivotArea outline="0" collapsedLevelsAreSubtotals="1" fieldPosition="0"/>
    </format>
    <format dxfId="13">
      <pivotArea field="0" type="button" dataOnly="0" labelOnly="1" outline="0" axis="axisRow" fieldPosition="0"/>
    </format>
    <format dxfId="12">
      <pivotArea dataOnly="0" labelOnly="1" fieldPosition="0">
        <references count="1">
          <reference field="0" count="50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1"/>
            <x v="32"/>
            <x v="33"/>
            <x v="34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49"/>
            <x v="50"/>
            <x v="51"/>
            <x v="52"/>
          </reference>
        </references>
      </pivotArea>
    </format>
    <format dxfId="11">
      <pivotArea dataOnly="0" labelOnly="1" fieldPosition="0">
        <references count="1">
          <reference field="0" count="11">
            <x v="53"/>
            <x v="54"/>
            <x v="55"/>
            <x v="56"/>
            <x v="57"/>
            <x v="58"/>
            <x v="59"/>
            <x v="60"/>
            <x v="61"/>
            <x v="62"/>
            <x v="63"/>
          </reference>
        </references>
      </pivotArea>
    </format>
    <format dxfId="10">
      <pivotArea dataOnly="0" labelOnly="1" grandRow="1" outline="0" fieldPosition="0"/>
    </format>
    <format dxfId="9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dosExternos_1" connectionId="1" xr16:uid="{EA661553-9A0C-4897-BD60-D74D11C7D613}" autoFormatId="16" applyNumberFormats="0" applyBorderFormats="0" applyFontFormats="0" applyPatternFormats="0" applyAlignmentFormats="0" applyWidthHeightFormats="0">
  <queryTableRefresh nextId="13" unboundColumnsRight="2">
    <queryTableFields count="12">
      <queryTableField id="1" name="EMPREGADOR" tableColumnId="11"/>
      <queryTableField id="2" name="TABELA" tableColumnId="2"/>
      <queryTableField id="3" name="TAXA" tableColumnId="3"/>
      <queryTableField id="4" name="PRAZO" tableColumnId="4"/>
      <queryTableField id="5" name="FATOR" tableColumnId="5"/>
      <queryTableField id="6" name="TETO_COMERCIAL" tableColumnId="6"/>
      <queryTableField id="7" name="VCTO" tableColumnId="7"/>
      <queryTableField id="8" name="CARENCIA_FINAL" tableColumnId="8"/>
      <queryTableField id="9" name="PMDESCRPRD" tableColumnId="9"/>
      <queryTableField id="10" name="min_port" tableColumnId="10"/>
      <queryTableField id="11" dataBound="0" tableColumnId="12"/>
      <queryTableField id="12" dataBound="0" tableColumnId="1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FC77159-480A-42BE-AF41-988C118A5B14}" name="Consulta1" displayName="Consulta1" ref="A1:L168" tableType="queryTable" totalsRowShown="0">
  <autoFilter ref="A1:L168" xr:uid="{3FC77159-480A-42BE-AF41-988C118A5B14}"/>
  <tableColumns count="12">
    <tableColumn id="11" xr3:uid="{26B3CA2B-8E83-484F-A2B9-A77E078A863D}" uniqueName="11" name="EMPREGADOR" queryTableFieldId="1" dataDxfId="8"/>
    <tableColumn id="2" xr3:uid="{01C518F4-E59B-4B06-B5EF-58C60A309D33}" uniqueName="2" name="TABELA" queryTableFieldId="2" dataDxfId="7"/>
    <tableColumn id="3" xr3:uid="{043614CA-06FD-4E79-A3C6-EDE9AE96519A}" uniqueName="3" name="TAXA" queryTableFieldId="3" dataDxfId="6" dataCellStyle="Porcentagem"/>
    <tableColumn id="4" xr3:uid="{0F7B1BD3-E3FF-4B4E-A3D3-4EE86D79BB02}" uniqueName="4" name="PRAZO" queryTableFieldId="4" dataDxfId="5"/>
    <tableColumn id="5" xr3:uid="{64FF4431-BFDD-4412-A043-B92364E29092}" uniqueName="5" name="FATOR" queryTableFieldId="5" dataDxfId="4"/>
    <tableColumn id="6" xr3:uid="{2F6208B9-88DE-45B0-BD43-AF97ACA39167}" uniqueName="6" name="TETO_COMERCIAL" queryTableFieldId="6" dataCellStyle="Vírgula"/>
    <tableColumn id="7" xr3:uid="{81FA5CB8-B06A-4CD4-BFF5-4ED47E9D89F7}" uniqueName="7" name="VCTO" queryTableFieldId="7"/>
    <tableColumn id="8" xr3:uid="{3C8B52A2-E326-4751-BBF9-CA19A9D6EA1D}" uniqueName="8" name="CARENCIA_FINAL" queryTableFieldId="8"/>
    <tableColumn id="9" xr3:uid="{28D5670E-F657-46A8-8D90-97E09688974A}" uniqueName="9" name="PMDESCRPRD" queryTableFieldId="9" dataDxfId="3"/>
    <tableColumn id="10" xr3:uid="{22576730-FC20-456D-B403-773BFA5E424B}" uniqueName="10" name="min_port" queryTableFieldId="10" dataDxfId="2"/>
    <tableColumn id="12" xr3:uid="{B3B57A57-3A71-456E-BD92-0DFB35F59FB9}" uniqueName="12" name="minport_%" queryTableFieldId="11" dataDxfId="1">
      <calculatedColumnFormula>Consulta1[[#This Row],[min_port]]/100</calculatedColumnFormula>
    </tableColumn>
    <tableColumn id="1" xr3:uid="{6CA397D6-62E8-4F6C-B9C7-B65F7F6DCBFD}" uniqueName="1" name="TETO_COMERCIAL_%" queryTableFieldId="12" dataDxfId="0" dataCellStyle="Porcentagem">
      <calculatedColumnFormula>Consulta1[[#This Row],[TETO_COMERCIAL]]/100</calculatedColumnFormula>
    </tableColumn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pivotTable" Target="../pivotTables/pivotTable2.xml"/><Relationship Id="rId5" Type="http://schemas.openxmlformats.org/officeDocument/2006/relationships/comments" Target="../comments2.xml"/><Relationship Id="rId4" Type="http://schemas.openxmlformats.org/officeDocument/2006/relationships/vmlDrawing" Target="../drawings/vmlDrawing2.v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1"/>
  <dimension ref="E1:CM59"/>
  <sheetViews>
    <sheetView showGridLines="0" topLeftCell="D6" workbookViewId="0">
      <pane xSplit="3" ySplit="4" topLeftCell="G21" activePane="bottomRight" state="frozen"/>
      <selection activeCell="D6" sqref="D6"/>
      <selection pane="topRight" activeCell="G6" sqref="G6"/>
      <selection pane="bottomLeft" activeCell="D10" sqref="D10"/>
      <selection pane="bottomRight" activeCell="F9" sqref="F9"/>
    </sheetView>
  </sheetViews>
  <sheetFormatPr defaultColWidth="9.140625" defaultRowHeight="15" x14ac:dyDescent="0.25"/>
  <cols>
    <col min="1" max="3" width="0" style="12" hidden="1" customWidth="1"/>
    <col min="4" max="4" width="1.7109375" style="12" customWidth="1"/>
    <col min="5" max="5" width="13.7109375" style="12" customWidth="1"/>
    <col min="6" max="6" width="11.42578125" style="23" customWidth="1"/>
    <col min="7" max="7" width="10.140625" style="12" customWidth="1"/>
    <col min="8" max="8" width="10.28515625" style="12" customWidth="1"/>
    <col min="9" max="16384" width="9.140625" style="12"/>
  </cols>
  <sheetData>
    <row r="1" spans="5:90" hidden="1" x14ac:dyDescent="0.25"/>
    <row r="2" spans="5:90" hidden="1" x14ac:dyDescent="0.25"/>
    <row r="3" spans="5:90" hidden="1" x14ac:dyDescent="0.25"/>
    <row r="4" spans="5:90" hidden="1" x14ac:dyDescent="0.25"/>
    <row r="5" spans="5:90" hidden="1" x14ac:dyDescent="0.25"/>
    <row r="6" spans="5:90" x14ac:dyDescent="0.25">
      <c r="G6" s="20">
        <v>1.9699999999999999E-2</v>
      </c>
    </row>
    <row r="7" spans="5:90" ht="15.75" thickBot="1" x14ac:dyDescent="0.3"/>
    <row r="8" spans="5:90" ht="44.25" customHeight="1" thickBot="1" x14ac:dyDescent="0.3">
      <c r="F8" s="27" t="s">
        <v>31</v>
      </c>
    </row>
    <row r="9" spans="5:90" s="23" customFormat="1" ht="30.75" thickBot="1" x14ac:dyDescent="0.3">
      <c r="E9" s="26" t="s">
        <v>32</v>
      </c>
      <c r="F9" s="25" t="s">
        <v>30</v>
      </c>
      <c r="G9" s="28">
        <v>1</v>
      </c>
      <c r="H9" s="28">
        <v>2</v>
      </c>
      <c r="I9" s="28">
        <v>3</v>
      </c>
      <c r="J9" s="28">
        <v>4</v>
      </c>
      <c r="K9" s="28">
        <v>5</v>
      </c>
      <c r="L9" s="28">
        <v>6</v>
      </c>
      <c r="M9" s="28">
        <v>7</v>
      </c>
      <c r="N9" s="28">
        <v>8</v>
      </c>
      <c r="O9" s="28">
        <v>9</v>
      </c>
      <c r="P9" s="28">
        <v>10</v>
      </c>
      <c r="Q9" s="28">
        <v>11</v>
      </c>
      <c r="R9" s="28">
        <v>12</v>
      </c>
      <c r="S9" s="28">
        <v>13</v>
      </c>
      <c r="T9" s="28">
        <v>14</v>
      </c>
      <c r="U9" s="28">
        <v>15</v>
      </c>
      <c r="V9" s="28">
        <v>16</v>
      </c>
      <c r="W9" s="28">
        <v>17</v>
      </c>
      <c r="X9" s="28">
        <v>18</v>
      </c>
      <c r="Y9" s="28">
        <v>19</v>
      </c>
      <c r="Z9" s="28">
        <v>20</v>
      </c>
      <c r="AA9" s="28">
        <v>21</v>
      </c>
      <c r="AB9" s="28">
        <v>22</v>
      </c>
      <c r="AC9" s="28">
        <v>23</v>
      </c>
      <c r="AD9" s="28">
        <v>24</v>
      </c>
      <c r="AE9" s="28">
        <v>25</v>
      </c>
      <c r="AF9" s="28">
        <v>26</v>
      </c>
      <c r="AG9" s="28">
        <v>27</v>
      </c>
      <c r="AH9" s="28">
        <v>28</v>
      </c>
      <c r="AI9" s="28">
        <v>29</v>
      </c>
      <c r="AJ9" s="28">
        <v>30</v>
      </c>
      <c r="AK9" s="28">
        <v>31</v>
      </c>
      <c r="AL9" s="28">
        <v>32</v>
      </c>
      <c r="AM9" s="28">
        <v>33</v>
      </c>
      <c r="AN9" s="28">
        <v>34</v>
      </c>
      <c r="AO9" s="28">
        <v>35</v>
      </c>
      <c r="AP9" s="28">
        <v>36</v>
      </c>
      <c r="AQ9" s="28">
        <v>37</v>
      </c>
      <c r="AR9" s="28">
        <v>38</v>
      </c>
      <c r="AS9" s="28">
        <v>39</v>
      </c>
      <c r="AT9" s="28">
        <v>40</v>
      </c>
      <c r="AU9" s="28">
        <v>41</v>
      </c>
      <c r="AV9" s="28">
        <v>42</v>
      </c>
      <c r="AW9" s="28">
        <v>43</v>
      </c>
      <c r="AX9" s="28">
        <v>44</v>
      </c>
      <c r="AY9" s="28">
        <v>45</v>
      </c>
      <c r="AZ9" s="28">
        <v>46</v>
      </c>
      <c r="BA9" s="28">
        <v>47</v>
      </c>
      <c r="BB9" s="28">
        <v>48</v>
      </c>
      <c r="BC9" s="28">
        <v>49</v>
      </c>
      <c r="BD9" s="28">
        <v>50</v>
      </c>
      <c r="BE9" s="28">
        <v>51</v>
      </c>
      <c r="BF9" s="28">
        <v>52</v>
      </c>
      <c r="BG9" s="28">
        <v>53</v>
      </c>
      <c r="BH9" s="28">
        <v>54</v>
      </c>
      <c r="BI9" s="28">
        <v>55</v>
      </c>
      <c r="BJ9" s="28">
        <v>56</v>
      </c>
      <c r="BK9" s="28">
        <v>57</v>
      </c>
      <c r="BL9" s="28">
        <v>58</v>
      </c>
      <c r="BM9" s="28">
        <v>59</v>
      </c>
      <c r="BN9" s="28">
        <v>60</v>
      </c>
      <c r="BO9" s="28">
        <v>61</v>
      </c>
      <c r="BP9" s="28">
        <v>62</v>
      </c>
      <c r="BQ9" s="28">
        <v>63</v>
      </c>
      <c r="BR9" s="28">
        <v>64</v>
      </c>
      <c r="BS9" s="28">
        <v>65</v>
      </c>
      <c r="BT9" s="28">
        <v>66</v>
      </c>
      <c r="BU9" s="28">
        <v>67</v>
      </c>
      <c r="BV9" s="28">
        <v>68</v>
      </c>
      <c r="BW9" s="28">
        <v>69</v>
      </c>
      <c r="BX9" s="28">
        <v>70</v>
      </c>
      <c r="BY9" s="28">
        <v>71</v>
      </c>
      <c r="BZ9" s="28">
        <v>72</v>
      </c>
      <c r="CA9" s="28">
        <v>73</v>
      </c>
      <c r="CB9" s="28">
        <v>74</v>
      </c>
      <c r="CC9" s="28">
        <v>75</v>
      </c>
      <c r="CD9" s="28">
        <v>76</v>
      </c>
      <c r="CE9" s="28">
        <v>77</v>
      </c>
      <c r="CF9" s="28">
        <v>78</v>
      </c>
      <c r="CG9" s="28">
        <v>79</v>
      </c>
      <c r="CH9" s="28">
        <v>80</v>
      </c>
      <c r="CI9" s="28">
        <v>81</v>
      </c>
      <c r="CJ9" s="28">
        <v>82</v>
      </c>
      <c r="CK9" s="28">
        <v>83</v>
      </c>
      <c r="CL9" s="31">
        <v>84</v>
      </c>
    </row>
    <row r="10" spans="5:90" ht="18" hidden="1" customHeight="1" x14ac:dyDescent="0.25">
      <c r="F10" s="29">
        <v>1.0999999999999999E-2</v>
      </c>
      <c r="G10" s="21">
        <f>RATE(84,1,G38,0)</f>
        <v>1.9693324863712478E-2</v>
      </c>
      <c r="H10" s="21">
        <f t="shared" ref="H10:BR10" si="0">RATE(84,1,H38,0)</f>
        <v>1.9680182426047702E-2</v>
      </c>
      <c r="I10" s="21">
        <f t="shared" si="0"/>
        <v>1.9660781475226308E-2</v>
      </c>
      <c r="J10" s="21">
        <f t="shared" si="0"/>
        <v>1.9635331232490033E-2</v>
      </c>
      <c r="K10" s="21">
        <f t="shared" si="0"/>
        <v>1.9604040859454629E-2</v>
      </c>
      <c r="L10" s="21">
        <f t="shared" si="0"/>
        <v>1.9567118992172818E-2</v>
      </c>
      <c r="M10" s="21">
        <f t="shared" si="0"/>
        <v>1.9524773302866959E-2</v>
      </c>
      <c r="N10" s="21">
        <f t="shared" si="0"/>
        <v>1.9477210089736144E-2</v>
      </c>
      <c r="O10" s="21">
        <f t="shared" si="0"/>
        <v>1.9424633895023857E-2</v>
      </c>
      <c r="P10" s="21">
        <f t="shared" si="0"/>
        <v>1.9367247151318569E-2</v>
      </c>
      <c r="Q10" s="21">
        <f t="shared" si="0"/>
        <v>1.930524985587782E-2</v>
      </c>
      <c r="R10" s="21">
        <f t="shared" si="0"/>
        <v>1.9238839272589847E-2</v>
      </c>
      <c r="S10" s="21">
        <f t="shared" si="0"/>
        <v>1.9168209661043486E-2</v>
      </c>
      <c r="T10" s="21">
        <f t="shared" si="0"/>
        <v>1.9093552032036075E-2</v>
      </c>
      <c r="U10" s="21">
        <f t="shared" si="0"/>
        <v>1.9015053928744915E-2</v>
      </c>
      <c r="V10" s="21">
        <f t="shared" si="0"/>
        <v>1.8932899232678914E-2</v>
      </c>
      <c r="W10" s="21">
        <f t="shared" si="0"/>
        <v>1.884726799345916E-2</v>
      </c>
      <c r="X10" s="21">
        <f t="shared" si="0"/>
        <v>1.8758336281399522E-2</v>
      </c>
      <c r="Y10" s="21">
        <f t="shared" si="0"/>
        <v>1.8666276061820204E-2</v>
      </c>
      <c r="Z10" s="21">
        <f t="shared" si="0"/>
        <v>1.8571255089978717E-2</v>
      </c>
      <c r="AA10" s="21">
        <f t="shared" si="0"/>
        <v>1.8473436825486439E-2</v>
      </c>
      <c r="AB10" s="21">
        <f t="shared" si="0"/>
        <v>1.8372980365061728E-2</v>
      </c>
      <c r="AC10" s="21">
        <f t="shared" si="0"/>
        <v>1.8270040392466894E-2</v>
      </c>
      <c r="AD10" s="21">
        <f t="shared" si="0"/>
        <v>1.8164767144483406E-2</v>
      </c>
      <c r="AE10" s="21">
        <f t="shared" si="0"/>
        <v>1.805730639179267E-2</v>
      </c>
      <c r="AF10" s="21">
        <f t="shared" si="0"/>
        <v>1.7947799433649683E-2</v>
      </c>
      <c r="AG10" s="21">
        <f t="shared" si="0"/>
        <v>1.7836383105262813E-2</v>
      </c>
      <c r="AH10" s="21">
        <f t="shared" si="0"/>
        <v>1.7723189796827493E-2</v>
      </c>
      <c r="AI10" s="21">
        <f t="shared" si="0"/>
        <v>1.7608347483190557E-2</v>
      </c>
      <c r="AJ10" s="21">
        <f t="shared" si="0"/>
        <v>1.7491979763168627E-2</v>
      </c>
      <c r="AK10" s="21">
        <f t="shared" si="0"/>
        <v>1.7374205907578526E-2</v>
      </c>
      <c r="AL10" s="21">
        <f t="shared" si="0"/>
        <v>1.7255140915086634E-2</v>
      </c>
      <c r="AM10" s="21">
        <f t="shared" si="0"/>
        <v>1.7134895575023439E-2</v>
      </c>
      <c r="AN10" s="21">
        <f t="shared" si="0"/>
        <v>1.7013576536360757E-2</v>
      </c>
      <c r="AO10" s="21">
        <f t="shared" si="0"/>
        <v>1.6891286382090805E-2</v>
      </c>
      <c r="AP10" s="21">
        <f t="shared" si="0"/>
        <v>1.6768123708292337E-2</v>
      </c>
      <c r="AQ10" s="21">
        <f t="shared" si="0"/>
        <v>1.6644183207219315E-2</v>
      </c>
      <c r="AR10" s="21">
        <f t="shared" si="0"/>
        <v>1.6519555753785078E-2</v>
      </c>
      <c r="AS10" s="21">
        <f t="shared" si="0"/>
        <v>1.6394328494865676E-2</v>
      </c>
      <c r="AT10" s="21">
        <f t="shared" si="0"/>
        <v>1.6268584940882274E-2</v>
      </c>
      <c r="AU10" s="21">
        <f t="shared" si="0"/>
        <v>1.6142405040758295E-2</v>
      </c>
      <c r="AV10" s="21">
        <f t="shared" si="0"/>
        <v>1.6015865347653153E-2</v>
      </c>
      <c r="AW10" s="21">
        <f t="shared" si="0"/>
        <v>1.5889039011565294E-2</v>
      </c>
      <c r="AX10" s="21">
        <f t="shared" si="0"/>
        <v>1.5761995941960625E-2</v>
      </c>
      <c r="AY10" s="21">
        <f t="shared" si="0"/>
        <v>1.563480288796671E-2</v>
      </c>
      <c r="AZ10" s="21">
        <f t="shared" si="0"/>
        <v>1.5507523534554981E-2</v>
      </c>
      <c r="BA10" s="21">
        <f t="shared" si="0"/>
        <v>1.538021859830392E-2</v>
      </c>
      <c r="BB10" s="21">
        <f t="shared" si="0"/>
        <v>1.5252945922491027E-2</v>
      </c>
      <c r="BC10" s="21">
        <f t="shared" si="0"/>
        <v>1.5125760571283621E-2</v>
      </c>
      <c r="BD10" s="21">
        <f t="shared" si="0"/>
        <v>1.4998714922829857E-2</v>
      </c>
      <c r="BE10" s="21">
        <f t="shared" si="0"/>
        <v>1.4871858761067018E-2</v>
      </c>
      <c r="BF10" s="21">
        <f t="shared" si="0"/>
        <v>1.4745239366096161E-2</v>
      </c>
      <c r="BG10" s="21">
        <f t="shared" si="0"/>
        <v>1.4618901602984749E-2</v>
      </c>
      <c r="BH10" s="21">
        <f t="shared" si="0"/>
        <v>1.4492888008881107E-2</v>
      </c>
      <c r="BI10" s="21">
        <f t="shared" si="0"/>
        <v>1.4367238878344313E-2</v>
      </c>
      <c r="BJ10" s="21">
        <f t="shared" si="0"/>
        <v>1.4241992346802757E-2</v>
      </c>
      <c r="BK10" s="21">
        <f t="shared" si="0"/>
        <v>1.4117184472077153E-2</v>
      </c>
      <c r="BL10" s="21">
        <f t="shared" si="0"/>
        <v>1.3992849313911893E-2</v>
      </c>
      <c r="BM10" s="21">
        <f t="shared" si="0"/>
        <v>1.3869019011471516E-2</v>
      </c>
      <c r="BN10" s="21">
        <f t="shared" si="0"/>
        <v>1.374572385877606E-2</v>
      </c>
      <c r="BO10" s="21">
        <f t="shared" si="0"/>
        <v>1.362299237804742E-2</v>
      </c>
      <c r="BP10" s="21">
        <f t="shared" si="0"/>
        <v>1.3500851390961062E-2</v>
      </c>
      <c r="BQ10" s="21">
        <f t="shared" si="0"/>
        <v>1.3379326087798052E-2</v>
      </c>
      <c r="BR10" s="21">
        <f t="shared" si="0"/>
        <v>1.325844009449861E-2</v>
      </c>
      <c r="BS10" s="21">
        <f t="shared" ref="BS10:CL10" si="1">RATE(84,1,BS38,0)</f>
        <v>1.3138215537632801E-2</v>
      </c>
      <c r="BT10" s="21">
        <f t="shared" si="1"/>
        <v>1.301867310729889E-2</v>
      </c>
      <c r="BU10" s="21">
        <f t="shared" si="1"/>
        <v>1.2899832117976682E-2</v>
      </c>
      <c r="BV10" s="21">
        <f t="shared" si="1"/>
        <v>1.2781710567355969E-2</v>
      </c>
      <c r="BW10" s="21">
        <f t="shared" si="1"/>
        <v>1.2664325193175599E-2</v>
      </c>
      <c r="BX10" s="21">
        <f t="shared" si="1"/>
        <v>1.2547691528102206E-2</v>
      </c>
      <c r="BY10" s="21">
        <f t="shared" si="1"/>
        <v>1.243182395268584E-2</v>
      </c>
      <c r="BZ10" s="21">
        <f t="shared" si="1"/>
        <v>1.2316735746433181E-2</v>
      </c>
      <c r="CA10" s="21">
        <f t="shared" si="1"/>
        <v>1.2202439137035767E-2</v>
      </c>
      <c r="CB10" s="21">
        <f t="shared" si="1"/>
        <v>1.2088945347797388E-2</v>
      </c>
      <c r="CC10" s="21">
        <f t="shared" si="1"/>
        <v>1.197626464330598E-2</v>
      </c>
      <c r="CD10" s="21">
        <f t="shared" si="1"/>
        <v>1.1864406373389294E-2</v>
      </c>
      <c r="CE10" s="21">
        <f t="shared" si="1"/>
        <v>1.1753379015406486E-2</v>
      </c>
      <c r="CF10" s="21">
        <f t="shared" si="1"/>
        <v>1.164319021491708E-2</v>
      </c>
      <c r="CG10" s="21">
        <f t="shared" si="1"/>
        <v>1.1533846824774133E-2</v>
      </c>
      <c r="CH10" s="21">
        <f t="shared" si="1"/>
        <v>1.1425354942691148E-2</v>
      </c>
      <c r="CI10" s="21">
        <f t="shared" si="1"/>
        <v>1.131771994732333E-2</v>
      </c>
      <c r="CJ10" s="21">
        <f t="shared" si="1"/>
        <v>1.1210946532917048E-2</v>
      </c>
      <c r="CK10" s="21">
        <f t="shared" si="1"/>
        <v>1.1105038742563422E-2</v>
      </c>
      <c r="CL10" s="21">
        <f t="shared" si="1"/>
        <v>1.1000000000112285E-2</v>
      </c>
    </row>
    <row r="11" spans="5:90" ht="18" hidden="1" customHeight="1" x14ac:dyDescent="0.25">
      <c r="F11" s="29">
        <v>1.18E-2</v>
      </c>
      <c r="G11" s="21">
        <f t="shared" ref="G11:BR11" si="2">RATE(84,1,G39,0)</f>
        <v>1.9693943372044814E-2</v>
      </c>
      <c r="H11" s="21">
        <f t="shared" si="2"/>
        <v>1.9682022901507154E-2</v>
      </c>
      <c r="I11" s="21">
        <f t="shared" si="2"/>
        <v>1.9664431552418281E-2</v>
      </c>
      <c r="J11" s="21">
        <f t="shared" si="2"/>
        <v>1.9641362043860012E-2</v>
      </c>
      <c r="K11" s="21">
        <f t="shared" si="2"/>
        <v>1.9613006451478922E-2</v>
      </c>
      <c r="L11" s="21">
        <f t="shared" si="2"/>
        <v>1.9579555832720374E-2</v>
      </c>
      <c r="M11" s="21">
        <f t="shared" si="2"/>
        <v>1.9541199876330927E-2</v>
      </c>
      <c r="N11" s="21">
        <f t="shared" si="2"/>
        <v>1.9498126576198562E-2</v>
      </c>
      <c r="O11" s="21">
        <f t="shared" si="2"/>
        <v>1.9450521929430382E-2</v>
      </c>
      <c r="P11" s="21">
        <f t="shared" si="2"/>
        <v>1.9398569658425784E-2</v>
      </c>
      <c r="Q11" s="21">
        <f t="shared" si="2"/>
        <v>1.9342450956567996E-2</v>
      </c>
      <c r="R11" s="21">
        <f t="shared" si="2"/>
        <v>1.9282344257038505E-2</v>
      </c>
      <c r="S11" s="21">
        <f t="shared" si="2"/>
        <v>1.9218425024158572E-2</v>
      </c>
      <c r="T11" s="21">
        <f t="shared" si="2"/>
        <v>1.9150865566570547E-2</v>
      </c>
      <c r="U11" s="21">
        <f t="shared" si="2"/>
        <v>1.9079834871501354E-2</v>
      </c>
      <c r="V11" s="21">
        <f t="shared" si="2"/>
        <v>1.900549845928089E-2</v>
      </c>
      <c r="W11" s="21">
        <f t="shared" si="2"/>
        <v>1.8928018257248987E-2</v>
      </c>
      <c r="X11" s="21">
        <f t="shared" si="2"/>
        <v>1.884755249213646E-2</v>
      </c>
      <c r="Y11" s="21">
        <f t="shared" si="2"/>
        <v>1.8764255599983723E-2</v>
      </c>
      <c r="Z11" s="21">
        <f t="shared" si="2"/>
        <v>1.8678278152642232E-2</v>
      </c>
      <c r="AA11" s="21">
        <f t="shared" si="2"/>
        <v>1.8589766799890561E-2</v>
      </c>
      <c r="AB11" s="21">
        <f t="shared" si="2"/>
        <v>1.8498864226201561E-2</v>
      </c>
      <c r="AC11" s="21">
        <f t="shared" si="2"/>
        <v>1.8405709121198186E-2</v>
      </c>
      <c r="AD11" s="21">
        <f t="shared" si="2"/>
        <v>1.8310436162849247E-2</v>
      </c>
      <c r="AE11" s="21">
        <f t="shared" si="2"/>
        <v>1.821317601247344E-2</v>
      </c>
      <c r="AF11" s="21">
        <f t="shared" si="2"/>
        <v>1.8114055320642378E-2</v>
      </c>
      <c r="AG11" s="21">
        <f t="shared" si="2"/>
        <v>1.8013196743098731E-2</v>
      </c>
      <c r="AH11" s="21">
        <f t="shared" si="2"/>
        <v>1.7910718965834276E-2</v>
      </c>
      <c r="AI11" s="21">
        <f t="shared" si="2"/>
        <v>1.7806736738506759E-2</v>
      </c>
      <c r="AJ11" s="21">
        <f t="shared" si="2"/>
        <v>1.7701360915405129E-2</v>
      </c>
      <c r="AK11" s="21">
        <f t="shared" si="2"/>
        <v>1.7594698503209907E-2</v>
      </c>
      <c r="AL11" s="21">
        <f t="shared" si="2"/>
        <v>1.7486852714834182E-2</v>
      </c>
      <c r="AM11" s="21">
        <f t="shared" si="2"/>
        <v>1.7377923028663245E-2</v>
      </c>
      <c r="AN11" s="21">
        <f t="shared" si="2"/>
        <v>1.7268005252551861E-2</v>
      </c>
      <c r="AO11" s="21">
        <f t="shared" si="2"/>
        <v>1.7157191591975884E-2</v>
      </c>
      <c r="AP11" s="21">
        <f t="shared" si="2"/>
        <v>1.7045570721770417E-2</v>
      </c>
      <c r="AQ11" s="21">
        <f t="shared" si="2"/>
        <v>1.6933227860924435E-2</v>
      </c>
      <c r="AR11" s="21">
        <f t="shared" si="2"/>
        <v>1.6820244849936355E-2</v>
      </c>
      <c r="AS11" s="32">
        <f t="shared" si="2"/>
        <v>1.6706700230275796E-2</v>
      </c>
      <c r="AT11" s="21">
        <f t="shared" si="2"/>
        <v>1.6592669325518995E-2</v>
      </c>
      <c r="AU11" s="21">
        <f t="shared" si="2"/>
        <v>1.6478224323772807E-2</v>
      </c>
      <c r="AV11" s="21">
        <f t="shared" si="2"/>
        <v>1.6363434361021362E-2</v>
      </c>
      <c r="AW11" s="21">
        <f t="shared" si="2"/>
        <v>1.6248365605066172E-2</v>
      </c>
      <c r="AX11" s="21">
        <f t="shared" si="2"/>
        <v>1.6133081321168041E-2</v>
      </c>
      <c r="AY11" s="21">
        <f t="shared" si="2"/>
        <v>1.6017642028271648E-2</v>
      </c>
      <c r="AZ11" s="21">
        <f t="shared" si="2"/>
        <v>1.5902105478340985E-2</v>
      </c>
      <c r="BA11" s="21">
        <f t="shared" si="2"/>
        <v>1.578652680767529E-2</v>
      </c>
      <c r="BB11" s="21">
        <f t="shared" si="2"/>
        <v>1.5670958603341098E-2</v>
      </c>
      <c r="BC11" s="21">
        <f t="shared" si="2"/>
        <v>1.5555450985231981E-2</v>
      </c>
      <c r="BD11" s="21">
        <f t="shared" si="2"/>
        <v>1.5440051687129334E-2</v>
      </c>
      <c r="BE11" s="21">
        <f t="shared" si="2"/>
        <v>1.5324806136623945E-2</v>
      </c>
      <c r="BF11" s="21">
        <f t="shared" si="2"/>
        <v>1.5209757533773067E-2</v>
      </c>
      <c r="BG11" s="21">
        <f t="shared" si="2"/>
        <v>1.5094946928388095E-2</v>
      </c>
      <c r="BH11" s="21">
        <f t="shared" si="2"/>
        <v>1.4980413295856268E-2</v>
      </c>
      <c r="BI11" s="21">
        <f t="shared" si="2"/>
        <v>1.4866193611424279E-2</v>
      </c>
      <c r="BJ11" s="21">
        <f t="shared" si="2"/>
        <v>1.4752322922870835E-2</v>
      </c>
      <c r="BK11" s="21">
        <f t="shared" si="2"/>
        <v>1.4638834421523242E-2</v>
      </c>
      <c r="BL11" s="21">
        <f t="shared" si="2"/>
        <v>1.4525759511563586E-2</v>
      </c>
      <c r="BM11" s="21">
        <f t="shared" si="2"/>
        <v>1.441312787760277E-2</v>
      </c>
      <c r="BN11" s="21">
        <f t="shared" si="2"/>
        <v>1.4300967550490411E-2</v>
      </c>
      <c r="BO11" s="21">
        <f t="shared" si="2"/>
        <v>1.4189304971345521E-2</v>
      </c>
      <c r="BP11" s="21">
        <f t="shared" si="2"/>
        <v>1.4078165053802988E-2</v>
      </c>
      <c r="BQ11" s="21">
        <f t="shared" si="2"/>
        <v>1.3967571244467217E-2</v>
      </c>
      <c r="BR11" s="21">
        <f t="shared" si="2"/>
        <v>1.3857545581582963E-2</v>
      </c>
      <c r="BS11" s="21">
        <f t="shared" ref="BS11:CL11" si="3">RATE(84,1,BS39,0)</f>
        <v>1.3748108751926613E-2</v>
      </c>
      <c r="BT11" s="21">
        <f t="shared" si="3"/>
        <v>1.3639280145935039E-2</v>
      </c>
      <c r="BU11" s="21">
        <f t="shared" si="3"/>
        <v>1.3531077911088501E-2</v>
      </c>
      <c r="BV11" s="21">
        <f t="shared" si="3"/>
        <v>1.3423519003568829E-2</v>
      </c>
      <c r="BW11" s="21">
        <f t="shared" si="3"/>
        <v>1.3316619238216958E-2</v>
      </c>
      <c r="BX11" s="21">
        <f t="shared" si="3"/>
        <v>1.3210393336819826E-2</v>
      </c>
      <c r="BY11" s="21">
        <f t="shared" si="3"/>
        <v>1.3104854974751655E-2</v>
      </c>
      <c r="BZ11" s="21">
        <f t="shared" si="3"/>
        <v>1.30000168260056E-2</v>
      </c>
      <c r="CA11" s="21">
        <f t="shared" si="3"/>
        <v>1.2895890606647682E-2</v>
      </c>
      <c r="CB11" s="21">
        <f t="shared" si="3"/>
        <v>1.279248711672769E-2</v>
      </c>
      <c r="CC11" s="21">
        <f t="shared" si="3"/>
        <v>1.2689816280683162E-2</v>
      </c>
      <c r="CD11" s="21">
        <f t="shared" si="3"/>
        <v>1.2587887186272078E-2</v>
      </c>
      <c r="CE11" s="21">
        <f t="shared" si="3"/>
        <v>1.2486708122075604E-2</v>
      </c>
      <c r="CF11" s="21">
        <f t="shared" si="3"/>
        <v>1.2386286613605154E-2</v>
      </c>
      <c r="CG11" s="21">
        <f t="shared" si="3"/>
        <v>1.2286629458053148E-2</v>
      </c>
      <c r="CH11" s="21">
        <f t="shared" si="3"/>
        <v>1.2187742757726274E-2</v>
      </c>
      <c r="CI11" s="21">
        <f t="shared" si="3"/>
        <v>1.2089631952200862E-2</v>
      </c>
      <c r="CJ11" s="21">
        <f t="shared" si="3"/>
        <v>1.1992301849236022E-2</v>
      </c>
      <c r="CK11" s="21">
        <f t="shared" si="3"/>
        <v>1.1895756654484304E-2</v>
      </c>
      <c r="CL11" s="21">
        <f t="shared" si="3"/>
        <v>1.1800000000038609E-2</v>
      </c>
    </row>
    <row r="12" spans="5:90" ht="18" hidden="1" customHeight="1" x14ac:dyDescent="0.25">
      <c r="F12" s="29">
        <v>1.2E-2</v>
      </c>
      <c r="G12" s="21">
        <f t="shared" ref="G12:BR12" si="4">RATE(84,1,G40,0)</f>
        <v>1.9694097849198035E-2</v>
      </c>
      <c r="H12" s="21">
        <f t="shared" si="4"/>
        <v>1.9682482440169478E-2</v>
      </c>
      <c r="I12" s="21">
        <f t="shared" si="4"/>
        <v>1.9665342671869729E-2</v>
      </c>
      <c r="J12" s="21">
        <f t="shared" si="4"/>
        <v>1.9642867048973108E-2</v>
      </c>
      <c r="K12" s="21">
        <f t="shared" si="4"/>
        <v>1.9615243305632735E-2</v>
      </c>
      <c r="L12" s="21">
        <f t="shared" si="4"/>
        <v>1.9582658052163089E-2</v>
      </c>
      <c r="M12" s="21">
        <f t="shared" si="4"/>
        <v>1.954529644511217E-2</v>
      </c>
      <c r="N12" s="21">
        <f t="shared" si="4"/>
        <v>1.950334188072168E-2</v>
      </c>
      <c r="O12" s="21">
        <f t="shared" si="4"/>
        <v>1.9456975711624299E-2</v>
      </c>
      <c r="P12" s="21">
        <f t="shared" si="4"/>
        <v>1.9406376986494684E-2</v>
      </c>
      <c r="Q12" s="21">
        <f t="shared" si="4"/>
        <v>1.9351722212245504E-2</v>
      </c>
      <c r="R12" s="21">
        <f t="shared" si="4"/>
        <v>1.9293185138258988E-2</v>
      </c>
      <c r="S12" s="21">
        <f t="shared" si="4"/>
        <v>1.9230936562049744E-2</v>
      </c>
      <c r="T12" s="21">
        <f t="shared" si="4"/>
        <v>1.916514415567467E-2</v>
      </c>
      <c r="U12" s="21">
        <f t="shared" si="4"/>
        <v>1.9095972312140157E-2</v>
      </c>
      <c r="V12" s="21">
        <f t="shared" si="4"/>
        <v>1.9023582011003431E-2</v>
      </c>
      <c r="W12" s="21">
        <f t="shared" si="4"/>
        <v>1.8948130702318683E-2</v>
      </c>
      <c r="X12" s="21">
        <f t="shared" si="4"/>
        <v>1.8869772208050598E-2</v>
      </c>
      <c r="Y12" s="21">
        <f t="shared" si="4"/>
        <v>1.8788656640049251E-2</v>
      </c>
      <c r="Z12" s="21">
        <f t="shared" si="4"/>
        <v>1.8704930333669871E-2</v>
      </c>
      <c r="AA12" s="21">
        <f t="shared" si="4"/>
        <v>1.8618735796115077E-2</v>
      </c>
      <c r="AB12" s="21">
        <f t="shared" si="4"/>
        <v>1.8530211668575391E-2</v>
      </c>
      <c r="AC12" s="21">
        <f t="shared" si="4"/>
        <v>1.843949270125422E-2</v>
      </c>
      <c r="AD12" s="21">
        <f t="shared" si="4"/>
        <v>1.834670974037305E-2</v>
      </c>
      <c r="AE12" s="21">
        <f t="shared" si="4"/>
        <v>1.8251989726275571E-2</v>
      </c>
      <c r="AF12" s="21">
        <f t="shared" si="4"/>
        <v>1.8155455701765633E-2</v>
      </c>
      <c r="AG12" s="21">
        <f t="shared" si="4"/>
        <v>1.8057226829843891E-2</v>
      </c>
      <c r="AH12" s="21">
        <f t="shared" si="4"/>
        <v>1.7957418420034919E-2</v>
      </c>
      <c r="AI12" s="21">
        <f t="shared" si="4"/>
        <v>1.7856141962527043E-2</v>
      </c>
      <c r="AJ12" s="21">
        <f t="shared" si="4"/>
        <v>1.7753505169381054E-2</v>
      </c>
      <c r="AK12" s="21">
        <f t="shared" si="4"/>
        <v>1.764961202209608E-2</v>
      </c>
      <c r="AL12" s="21">
        <f t="shared" si="4"/>
        <v>1.7544562824858077E-2</v>
      </c>
      <c r="AM12" s="21">
        <f t="shared" si="4"/>
        <v>1.743845426282993E-2</v>
      </c>
      <c r="AN12" s="21">
        <f t="shared" si="4"/>
        <v>1.7331379464879833E-2</v>
      </c>
      <c r="AO12" s="21">
        <f t="shared" si="4"/>
        <v>1.7223428070177842E-2</v>
      </c>
      <c r="AP12" s="21">
        <f t="shared" si="4"/>
        <v>1.7114686298129084E-2</v>
      </c>
      <c r="AQ12" s="21">
        <f t="shared" si="4"/>
        <v>1.7005237021141435E-2</v>
      </c>
      <c r="AR12" s="21">
        <f t="shared" si="4"/>
        <v>1.6895159839766982E-2</v>
      </c>
      <c r="AS12" s="32">
        <f t="shared" si="4"/>
        <v>1.6784531159783369E-2</v>
      </c>
      <c r="AT12" s="21">
        <f t="shared" si="4"/>
        <v>1.6673424270813933E-2</v>
      </c>
      <c r="AU12" s="21">
        <f t="shared" si="4"/>
        <v>1.6561909426120368E-2</v>
      </c>
      <c r="AV12" s="21">
        <f t="shared" si="4"/>
        <v>1.645005392322843E-2</v>
      </c>
      <c r="AW12" s="21">
        <f t="shared" si="4"/>
        <v>1.6337922185072667E-2</v>
      </c>
      <c r="AX12" s="21">
        <f t="shared" si="4"/>
        <v>1.6225575841379809E-2</v>
      </c>
      <c r="AY12" s="21">
        <f t="shared" si="4"/>
        <v>1.611307379104646E-2</v>
      </c>
      <c r="AZ12" s="21">
        <f t="shared" si="4"/>
        <v>1.600047235681613E-2</v>
      </c>
      <c r="BA12" s="21">
        <f t="shared" si="4"/>
        <v>1.588782525883891E-2</v>
      </c>
      <c r="BB12" s="21">
        <f t="shared" si="4"/>
        <v>1.5775183764020401E-2</v>
      </c>
      <c r="BC12" s="21">
        <f t="shared" si="4"/>
        <v>1.5662596748312978E-2</v>
      </c>
      <c r="BD12" s="21">
        <f t="shared" si="4"/>
        <v>1.5550110774903458E-2</v>
      </c>
      <c r="BE12" s="21">
        <f t="shared" si="4"/>
        <v>1.5437770171290773E-2</v>
      </c>
      <c r="BF12" s="21">
        <f t="shared" si="4"/>
        <v>1.5325617105141773E-2</v>
      </c>
      <c r="BG12" s="21">
        <f t="shared" si="4"/>
        <v>1.521369165882284E-2</v>
      </c>
      <c r="BH12" s="21">
        <f t="shared" si="4"/>
        <v>1.5102031902518107E-2</v>
      </c>
      <c r="BI12" s="21">
        <f t="shared" si="4"/>
        <v>1.4990673965866409E-2</v>
      </c>
      <c r="BJ12" s="21">
        <f t="shared" si="4"/>
        <v>1.4879652108049845E-2</v>
      </c>
      <c r="BK12" s="21">
        <f t="shared" si="4"/>
        <v>1.4768998786285254E-2</v>
      </c>
      <c r="BL12" s="21">
        <f t="shared" si="4"/>
        <v>1.465874472268038E-2</v>
      </c>
      <c r="BM12" s="21">
        <f t="shared" si="4"/>
        <v>1.454891896941987E-2</v>
      </c>
      <c r="BN12" s="21">
        <f t="shared" si="4"/>
        <v>1.4439548972260385E-2</v>
      </c>
      <c r="BO12" s="21">
        <f t="shared" si="4"/>
        <v>1.4330660632320153E-2</v>
      </c>
      <c r="BP12" s="21">
        <f t="shared" si="4"/>
        <v>1.4222278366152865E-2</v>
      </c>
      <c r="BQ12" s="21">
        <f t="shared" si="4"/>
        <v>1.4114425164104983E-2</v>
      </c>
      <c r="BR12" s="21">
        <f t="shared" si="4"/>
        <v>1.4007122646960881E-2</v>
      </c>
      <c r="BS12" s="21">
        <f t="shared" ref="BS12:CL12" si="5">RATE(84,1,BS40,0)</f>
        <v>1.3900391120880857E-2</v>
      </c>
      <c r="BT12" s="21">
        <f t="shared" si="5"/>
        <v>1.3794249630650113E-2</v>
      </c>
      <c r="BU12" s="21">
        <f t="shared" si="5"/>
        <v>1.3688716011251914E-2</v>
      </c>
      <c r="BV12" s="21">
        <f t="shared" si="5"/>
        <v>1.3583806937784987E-2</v>
      </c>
      <c r="BW12" s="21">
        <f t="shared" si="5"/>
        <v>1.3479537973751867E-2</v>
      </c>
      <c r="BX12" s="21">
        <f t="shared" si="5"/>
        <v>1.3375923617739757E-2</v>
      </c>
      <c r="BY12" s="21">
        <f t="shared" si="5"/>
        <v>1.32729773485277E-2</v>
      </c>
      <c r="BZ12" s="21">
        <f t="shared" si="5"/>
        <v>1.3170711668643904E-2</v>
      </c>
      <c r="CA12" s="21">
        <f t="shared" si="5"/>
        <v>1.3069138146410137E-2</v>
      </c>
      <c r="CB12" s="21">
        <f t="shared" si="5"/>
        <v>1.2968267456504192E-2</v>
      </c>
      <c r="CC12" s="21">
        <f t="shared" si="5"/>
        <v>1.2868109419074335E-2</v>
      </c>
      <c r="CD12" s="21">
        <f t="shared" si="5"/>
        <v>1.2768673037443322E-2</v>
      </c>
      <c r="CE12" s="21">
        <f t="shared" si="5"/>
        <v>1.2669966534432283E-2</v>
      </c>
      <c r="CF12" s="21">
        <f t="shared" si="5"/>
        <v>1.2571997387349728E-2</v>
      </c>
      <c r="CG12" s="21">
        <f t="shared" si="5"/>
        <v>1.2474772361670996E-2</v>
      </c>
      <c r="CH12" s="21">
        <f t="shared" si="5"/>
        <v>1.2378297543455711E-2</v>
      </c>
      <c r="CI12" s="21">
        <f t="shared" si="5"/>
        <v>1.2282578370530511E-2</v>
      </c>
      <c r="CJ12" s="21">
        <f t="shared" si="5"/>
        <v>1.2187619662481547E-2</v>
      </c>
      <c r="CK12" s="21">
        <f t="shared" si="5"/>
        <v>1.2093425649487302E-2</v>
      </c>
      <c r="CL12" s="21">
        <f t="shared" si="5"/>
        <v>1.2000000000029544E-2</v>
      </c>
    </row>
    <row r="13" spans="5:90" ht="18" hidden="1" customHeight="1" x14ac:dyDescent="0.25">
      <c r="F13" s="29">
        <v>1.2500000000000001E-2</v>
      </c>
      <c r="G13" s="21">
        <f t="shared" ref="G13:BR13" si="6">RATE(84,1,G41,0)</f>
        <v>1.9694483780085606E-2</v>
      </c>
      <c r="H13" s="21">
        <f t="shared" si="6"/>
        <v>1.9683630273260994E-2</v>
      </c>
      <c r="I13" s="21">
        <f t="shared" si="6"/>
        <v>1.9667618025764232E-2</v>
      </c>
      <c r="J13" s="21">
        <f t="shared" si="6"/>
        <v>1.9646624851515297E-2</v>
      </c>
      <c r="K13" s="21">
        <f t="shared" si="6"/>
        <v>1.9620827509139085E-2</v>
      </c>
      <c r="L13" s="21">
        <f t="shared" si="6"/>
        <v>1.9590401399850861E-2</v>
      </c>
      <c r="M13" s="21">
        <f t="shared" si="6"/>
        <v>1.955552028650142E-2</v>
      </c>
      <c r="N13" s="21">
        <f t="shared" si="6"/>
        <v>1.9516356033633921E-2</v>
      </c>
      <c r="O13" s="21">
        <f t="shared" si="6"/>
        <v>1.9473078368295489E-2</v>
      </c>
      <c r="P13" s="21">
        <f t="shared" si="6"/>
        <v>1.9425854661237658E-2</v>
      </c>
      <c r="Q13" s="21">
        <f t="shared" si="6"/>
        <v>1.9374849728046865E-2</v>
      </c>
      <c r="R13" s="21">
        <f t="shared" si="6"/>
        <v>1.9320225649667504E-2</v>
      </c>
      <c r="S13" s="21">
        <f t="shared" si="6"/>
        <v>1.9262141611708836E-2</v>
      </c>
      <c r="T13" s="21">
        <f t="shared" si="6"/>
        <v>1.9200753761870002E-2</v>
      </c>
      <c r="U13" s="21">
        <f t="shared" si="6"/>
        <v>1.9136215084768468E-2</v>
      </c>
      <c r="V13" s="21">
        <f t="shared" si="6"/>
        <v>1.9068675293418946E-2</v>
      </c>
      <c r="W13" s="21">
        <f t="shared" si="6"/>
        <v>1.8998280736582173E-2</v>
      </c>
      <c r="X13" s="21">
        <f t="shared" si="6"/>
        <v>1.8925174321180661E-2</v>
      </c>
      <c r="Y13" s="21">
        <f t="shared" si="6"/>
        <v>1.8849495448964585E-2</v>
      </c>
      <c r="Z13" s="21">
        <f t="shared" si="6"/>
        <v>1.8771379966609304E-2</v>
      </c>
      <c r="AA13" s="21">
        <f t="shared" si="6"/>
        <v>1.869096012841957E-2</v>
      </c>
      <c r="AB13" s="21">
        <f t="shared" si="6"/>
        <v>1.860836457082719E-2</v>
      </c>
      <c r="AC13" s="21">
        <f t="shared" si="6"/>
        <v>1.8523718297875968E-2</v>
      </c>
      <c r="AD13" s="21">
        <f t="shared" si="6"/>
        <v>1.8437142676904741E-2</v>
      </c>
      <c r="AE13" s="21">
        <f t="shared" si="6"/>
        <v>1.8348755443656994E-2</v>
      </c>
      <c r="AF13" s="21">
        <f t="shared" si="6"/>
        <v>1.8258670716067377E-2</v>
      </c>
      <c r="AG13" s="21">
        <f t="shared" si="6"/>
        <v>1.8166999016000707E-2</v>
      </c>
      <c r="AH13" s="21">
        <f t="shared" si="6"/>
        <v>1.8073847298244627E-2</v>
      </c>
      <c r="AI13" s="21">
        <f t="shared" si="6"/>
        <v>1.797931898608679E-2</v>
      </c>
      <c r="AJ13" s="21">
        <f t="shared" si="6"/>
        <v>1.7883514012835069E-2</v>
      </c>
      <c r="AK13" s="21">
        <f t="shared" si="6"/>
        <v>1.7786528868669896E-2</v>
      </c>
      <c r="AL13" s="21">
        <f t="shared" si="6"/>
        <v>1.768845665225291E-2</v>
      </c>
      <c r="AM13" s="21">
        <f t="shared" si="6"/>
        <v>1.7589387126538396E-2</v>
      </c>
      <c r="AN13" s="21">
        <f t="shared" si="6"/>
        <v>1.7489406778278163E-2</v>
      </c>
      <c r="AO13" s="21">
        <f t="shared" si="6"/>
        <v>1.7388598880725432E-2</v>
      </c>
      <c r="AP13" s="21">
        <f t="shared" si="6"/>
        <v>1.7287043559091188E-2</v>
      </c>
      <c r="AQ13" s="21">
        <f t="shared" si="6"/>
        <v>1.7184817858320829E-2</v>
      </c>
      <c r="AR13" s="21">
        <f t="shared" si="6"/>
        <v>1.708199581280034E-2</v>
      </c>
      <c r="AS13" s="32">
        <f t="shared" si="6"/>
        <v>1.6978648517620806E-2</v>
      </c>
      <c r="AT13" s="21">
        <f t="shared" si="6"/>
        <v>1.6874844201063392E-2</v>
      </c>
      <c r="AU13" s="21">
        <f t="shared" si="6"/>
        <v>1.6770648297989525E-2</v>
      </c>
      <c r="AV13" s="21">
        <f t="shared" si="6"/>
        <v>1.6666123523850249E-2</v>
      </c>
      <c r="AW13" s="21">
        <f t="shared" si="6"/>
        <v>1.6561329949046584E-2</v>
      </c>
      <c r="AX13" s="21">
        <f t="shared" si="6"/>
        <v>1.6456325073403739E-2</v>
      </c>
      <c r="AY13" s="21">
        <f t="shared" si="6"/>
        <v>1.6351163900537913E-2</v>
      </c>
      <c r="AZ13" s="21">
        <f t="shared" si="6"/>
        <v>1.6245899011916011E-2</v>
      </c>
      <c r="BA13" s="21">
        <f t="shared" si="6"/>
        <v>1.6140580621986911E-2</v>
      </c>
      <c r="BB13" s="21">
        <f t="shared" si="6"/>
        <v>1.6035256722742027E-2</v>
      </c>
      <c r="BC13" s="21">
        <f t="shared" si="6"/>
        <v>1.5929973051395173E-2</v>
      </c>
      <c r="BD13" s="21">
        <f t="shared" si="6"/>
        <v>1.5824773229388016E-2</v>
      </c>
      <c r="BE13" s="21">
        <f t="shared" si="6"/>
        <v>1.571969881607356E-2</v>
      </c>
      <c r="BF13" s="21">
        <f t="shared" si="6"/>
        <v>1.5614789377780377E-2</v>
      </c>
      <c r="BG13" s="21">
        <f t="shared" si="6"/>
        <v>1.5510082555665806E-2</v>
      </c>
      <c r="BH13" s="21">
        <f t="shared" si="6"/>
        <v>1.5405614132280207E-2</v>
      </c>
      <c r="BI13" s="21">
        <f t="shared" si="6"/>
        <v>1.5301418096784564E-2</v>
      </c>
      <c r="BJ13" s="21">
        <f t="shared" si="6"/>
        <v>1.5197526708764201E-2</v>
      </c>
      <c r="BK13" s="21">
        <f t="shared" si="6"/>
        <v>1.5093970560600514E-2</v>
      </c>
      <c r="BL13" s="21">
        <f t="shared" si="6"/>
        <v>1.4990778638364712E-2</v>
      </c>
      <c r="BM13" s="21">
        <f t="shared" si="6"/>
        <v>1.4887978381206295E-2</v>
      </c>
      <c r="BN13" s="21">
        <f t="shared" si="6"/>
        <v>1.4785595739221204E-2</v>
      </c>
      <c r="BO13" s="21">
        <f t="shared" si="6"/>
        <v>1.4683655229781316E-2</v>
      </c>
      <c r="BP13" s="21">
        <f t="shared" si="6"/>
        <v>1.4582179992324728E-2</v>
      </c>
      <c r="BQ13" s="21">
        <f t="shared" si="6"/>
        <v>1.4481191841601236E-2</v>
      </c>
      <c r="BR13" s="21">
        <f t="shared" si="6"/>
        <v>1.4380711319380334E-2</v>
      </c>
      <c r="BS13" s="21">
        <f t="shared" ref="BS13:CL13" si="7">RATE(84,1,BS41,0)</f>
        <v>1.4280757744624376E-2</v>
      </c>
      <c r="BT13" s="21">
        <f t="shared" si="7"/>
        <v>1.4181349262145575E-2</v>
      </c>
      <c r="BU13" s="21">
        <f t="shared" si="7"/>
        <v>1.408250288975571E-2</v>
      </c>
      <c r="BV13" s="21">
        <f t="shared" si="7"/>
        <v>1.3984234563929665E-2</v>
      </c>
      <c r="BW13" s="21">
        <f t="shared" si="7"/>
        <v>1.3886559184002781E-2</v>
      </c>
      <c r="BX13" s="21">
        <f t="shared" si="7"/>
        <v>1.3789490654926788E-2</v>
      </c>
      <c r="BY13" s="21">
        <f t="shared" si="7"/>
        <v>1.3693041928604514E-2</v>
      </c>
      <c r="BZ13" s="21">
        <f t="shared" si="7"/>
        <v>1.3597225043836671E-2</v>
      </c>
      <c r="CA13" s="21">
        <f t="shared" si="7"/>
        <v>1.3502051164902319E-2</v>
      </c>
      <c r="CB13" s="21">
        <f t="shared" si="7"/>
        <v>1.3407530618807032E-2</v>
      </c>
      <c r="CC13" s="21">
        <f t="shared" si="7"/>
        <v>1.3313672931227101E-2</v>
      </c>
      <c r="CD13" s="21">
        <f t="shared" si="7"/>
        <v>1.3220486861177801E-2</v>
      </c>
      <c r="CE13" s="21">
        <f t="shared" si="7"/>
        <v>1.3127980434445673E-2</v>
      </c>
      <c r="CF13" s="21">
        <f t="shared" si="7"/>
        <v>1.3036160975805431E-2</v>
      </c>
      <c r="CG13" s="21">
        <f t="shared" si="7"/>
        <v>1.2945035140063302E-2</v>
      </c>
      <c r="CH13" s="21">
        <f t="shared" si="7"/>
        <v>1.2854608941954769E-2</v>
      </c>
      <c r="CI13" s="21">
        <f t="shared" si="7"/>
        <v>1.2764887784927967E-2</v>
      </c>
      <c r="CJ13" s="21">
        <f t="shared" si="7"/>
        <v>1.2675876488849724E-2</v>
      </c>
      <c r="CK13" s="21">
        <f t="shared" si="7"/>
        <v>1.2587579316660413E-2</v>
      </c>
      <c r="CL13" s="21">
        <f t="shared" si="7"/>
        <v>1.2500000000014753E-2</v>
      </c>
    </row>
    <row r="14" spans="5:90" ht="18" hidden="1" customHeight="1" x14ac:dyDescent="0.25">
      <c r="F14" s="29">
        <v>1.2999999999999999E-2</v>
      </c>
      <c r="G14" s="21">
        <f t="shared" ref="G14:BR14" si="8">RATE(84,1,G42,0)</f>
        <v>1.9694869337128645E-2</v>
      </c>
      <c r="H14" s="21">
        <f t="shared" si="8"/>
        <v>1.968477666044538E-2</v>
      </c>
      <c r="I14" s="21">
        <f t="shared" si="8"/>
        <v>1.9669889892879072E-2</v>
      </c>
      <c r="J14" s="21">
        <f t="shared" si="8"/>
        <v>1.9650375937437237E-2</v>
      </c>
      <c r="K14" s="21">
        <f t="shared" si="8"/>
        <v>1.9626400404028705E-2</v>
      </c>
      <c r="L14" s="21">
        <f t="shared" si="8"/>
        <v>1.9598127355026643E-2</v>
      </c>
      <c r="M14" s="21">
        <f t="shared" si="8"/>
        <v>1.9565719069731032E-2</v>
      </c>
      <c r="N14" s="21">
        <f t="shared" si="8"/>
        <v>1.9529335827485037E-2</v>
      </c>
      <c r="O14" s="21">
        <f t="shared" si="8"/>
        <v>1.9489135709106008E-2</v>
      </c>
      <c r="P14" s="21">
        <f t="shared" si="8"/>
        <v>1.9445274416217618E-2</v>
      </c>
      <c r="Q14" s="21">
        <f t="shared" si="8"/>
        <v>1.9397905107997333E-2</v>
      </c>
      <c r="R14" s="21">
        <f t="shared" si="8"/>
        <v>1.9347178254793915E-2</v>
      </c>
      <c r="S14" s="21">
        <f t="shared" si="8"/>
        <v>1.9293241508022221E-2</v>
      </c>
      <c r="T14" s="21">
        <f t="shared" si="8"/>
        <v>1.9236239585698114E-2</v>
      </c>
      <c r="U14" s="21">
        <f t="shared" si="8"/>
        <v>1.917631417294758E-2</v>
      </c>
      <c r="V14" s="21">
        <f t="shared" si="8"/>
        <v>1.9113603836794838E-2</v>
      </c>
      <c r="W14" s="21">
        <f t="shared" si="8"/>
        <v>1.9048243954519688E-2</v>
      </c>
      <c r="X14" s="21">
        <f t="shared" si="8"/>
        <v>1.8980366654861549E-2</v>
      </c>
      <c r="Y14" s="21">
        <f t="shared" si="8"/>
        <v>1.8910100771343068E-2</v>
      </c>
      <c r="Z14" s="21">
        <f t="shared" si="8"/>
        <v>1.8837571806984504E-2</v>
      </c>
      <c r="AA14" s="21">
        <f t="shared" si="8"/>
        <v>1.8762901909689007E-2</v>
      </c>
      <c r="AB14" s="21">
        <f t="shared" si="8"/>
        <v>1.8686209857582042E-2</v>
      </c>
      <c r="AC14" s="21">
        <f t="shared" si="8"/>
        <v>1.8607611053608281E-2</v>
      </c>
      <c r="AD14" s="21">
        <f t="shared" si="8"/>
        <v>1.852721752869731E-2</v>
      </c>
      <c r="AE14" s="21">
        <f t="shared" si="8"/>
        <v>1.844513795283699E-2</v>
      </c>
      <c r="AF14" s="21">
        <f t="shared" si="8"/>
        <v>1.8361477653405522E-2</v>
      </c>
      <c r="AG14" s="21">
        <f t="shared" si="8"/>
        <v>1.8276338640144257E-2</v>
      </c>
      <c r="AH14" s="21">
        <f t="shared" si="8"/>
        <v>1.8189819636171629E-2</v>
      </c>
      <c r="AI14" s="21">
        <f t="shared" si="8"/>
        <v>1.8102016114467656E-2</v>
      </c>
      <c r="AJ14" s="21">
        <f t="shared" si="8"/>
        <v>1.8013020339282614E-2</v>
      </c>
      <c r="AK14" s="21">
        <f t="shared" si="8"/>
        <v>1.792292141195297E-2</v>
      </c>
      <c r="AL14" s="21">
        <f t="shared" si="8"/>
        <v>1.7831805320632329E-2</v>
      </c>
      <c r="AM14" s="21">
        <f t="shared" si="8"/>
        <v>1.7739754993471881E-2</v>
      </c>
      <c r="AN14" s="21">
        <f t="shared" si="8"/>
        <v>1.7646850354816838E-2</v>
      </c>
      <c r="AO14" s="21">
        <f t="shared" si="8"/>
        <v>1.7553168384004551E-2</v>
      </c>
      <c r="AP14" s="21">
        <f t="shared" si="8"/>
        <v>1.7458783176383115E-2</v>
      </c>
      <c r="AQ14" s="21">
        <f t="shared" si="8"/>
        <v>1.7363766006189805E-2</v>
      </c>
      <c r="AR14" s="21">
        <f t="shared" si="8"/>
        <v>1.7268185390958153E-2</v>
      </c>
      <c r="AS14" s="32">
        <f t="shared" si="8"/>
        <v>1.7172107157141091E-2</v>
      </c>
      <c r="AT14" s="21">
        <f t="shared" si="8"/>
        <v>1.7075594506667565E-2</v>
      </c>
      <c r="AU14" s="21">
        <f t="shared" si="8"/>
        <v>1.6978708084166291E-2</v>
      </c>
      <c r="AV14" s="21">
        <f t="shared" si="8"/>
        <v>1.6881506044614525E-2</v>
      </c>
      <c r="AW14" s="21">
        <f t="shared" si="8"/>
        <v>1.6784044121192009E-2</v>
      </c>
      <c r="AX14" s="21">
        <f t="shared" si="8"/>
        <v>1.6686375693134293E-2</v>
      </c>
      <c r="AY14" s="21">
        <f t="shared" si="8"/>
        <v>1.6588551853404885E-2</v>
      </c>
      <c r="AZ14" s="21">
        <f t="shared" si="8"/>
        <v>1.6490621476015967E-2</v>
      </c>
      <c r="BA14" s="21">
        <f t="shared" si="8"/>
        <v>1.6392631282851094E-2</v>
      </c>
      <c r="BB14" s="21">
        <f t="shared" si="8"/>
        <v>1.6294625909851417E-2</v>
      </c>
      <c r="BC14" s="21">
        <f t="shared" si="8"/>
        <v>1.6196647955058516E-2</v>
      </c>
      <c r="BD14" s="21">
        <f t="shared" si="8"/>
        <v>1.6098738110863632E-2</v>
      </c>
      <c r="BE14" s="21">
        <f t="shared" si="8"/>
        <v>1.6000935128735783E-2</v>
      </c>
      <c r="BF14" s="21">
        <f t="shared" si="8"/>
        <v>1.5903275946078741E-2</v>
      </c>
      <c r="BG14" s="21">
        <f t="shared" si="8"/>
        <v>1.580579573201411E-2</v>
      </c>
      <c r="BH14" s="21">
        <f t="shared" si="8"/>
        <v>1.570852794767821E-2</v>
      </c>
      <c r="BI14" s="21">
        <f t="shared" si="8"/>
        <v>1.5611504405296199E-2</v>
      </c>
      <c r="BJ14" s="21">
        <f t="shared" si="8"/>
        <v>1.5514755325990271E-2</v>
      </c>
      <c r="BK14" s="21">
        <f t="shared" si="8"/>
        <v>1.5418309396286294E-2</v>
      </c>
      <c r="BL14" s="21">
        <f t="shared" si="8"/>
        <v>1.5322193823292132E-2</v>
      </c>
      <c r="BM14" s="21">
        <f t="shared" si="8"/>
        <v>1.5226434388524748E-2</v>
      </c>
      <c r="BN14" s="21">
        <f t="shared" si="8"/>
        <v>1.5131055500372172E-2</v>
      </c>
      <c r="BO14" s="21">
        <f t="shared" si="8"/>
        <v>1.5036080245179396E-2</v>
      </c>
      <c r="BP14" s="21">
        <f t="shared" si="8"/>
        <v>1.4941530436953676E-2</v>
      </c>
      <c r="BQ14" s="21">
        <f t="shared" si="8"/>
        <v>1.4847426665690274E-2</v>
      </c>
      <c r="BR14" s="21">
        <f t="shared" si="8"/>
        <v>1.4753788344319724E-2</v>
      </c>
      <c r="BS14" s="21">
        <f t="shared" ref="BS14:CL14" si="9">RATE(84,1,BS42,0)</f>
        <v>1.4660633754287356E-2</v>
      </c>
      <c r="BT14" s="21">
        <f t="shared" si="9"/>
        <v>1.4567980089772373E-2</v>
      </c>
      <c r="BU14" s="21">
        <f t="shared" si="9"/>
        <v>1.4475843500563022E-2</v>
      </c>
      <c r="BV14" s="21">
        <f t="shared" si="9"/>
        <v>1.4384239133602062E-2</v>
      </c>
      <c r="BW14" s="21">
        <f t="shared" si="9"/>
        <v>1.4293181173221467E-2</v>
      </c>
      <c r="BX14" s="21">
        <f t="shared" si="9"/>
        <v>1.4202682880087235E-2</v>
      </c>
      <c r="BY14" s="21">
        <f t="shared" si="9"/>
        <v>1.4112756628874869E-2</v>
      </c>
      <c r="BZ14" s="21">
        <f t="shared" si="9"/>
        <v>1.4023413944700755E-2</v>
      </c>
      <c r="CA14" s="21">
        <f t="shared" si="9"/>
        <v>1.3934665538332216E-2</v>
      </c>
      <c r="CB14" s="21">
        <f t="shared" si="9"/>
        <v>1.3846521340203666E-2</v>
      </c>
      <c r="CC14" s="21">
        <f t="shared" si="9"/>
        <v>1.375899053326448E-2</v>
      </c>
      <c r="CD14" s="21">
        <f t="shared" si="9"/>
        <v>1.3672081584684919E-2</v>
      </c>
      <c r="CE14" s="21">
        <f t="shared" si="9"/>
        <v>1.3585802276450046E-2</v>
      </c>
      <c r="CF14" s="21">
        <f t="shared" si="9"/>
        <v>1.3500159734867623E-2</v>
      </c>
      <c r="CG14" s="21">
        <f t="shared" si="9"/>
        <v>1.3415160459019129E-2</v>
      </c>
      <c r="CH14" s="21">
        <f t="shared" si="9"/>
        <v>1.3330810348181414E-2</v>
      </c>
      <c r="CI14" s="21">
        <f t="shared" si="9"/>
        <v>1.3247114728250502E-2</v>
      </c>
      <c r="CJ14" s="21">
        <f t="shared" si="9"/>
        <v>1.3164078377189827E-2</v>
      </c>
      <c r="CK14" s="21">
        <f t="shared" si="9"/>
        <v>1.3081705549539508E-2</v>
      </c>
      <c r="CL14" s="21">
        <f t="shared" si="9"/>
        <v>1.3000000000007159E-2</v>
      </c>
    </row>
    <row r="15" spans="5:90" ht="17.25" customHeight="1" x14ac:dyDescent="0.25">
      <c r="F15" s="29">
        <v>1.32E-2</v>
      </c>
      <c r="G15" s="21">
        <f t="shared" ref="G15:BR15" si="10">RATE(84,1,G43,0)</f>
        <v>1.9695023455391043E-2</v>
      </c>
      <c r="H15" s="21">
        <f t="shared" si="10"/>
        <v>1.9685234811035724E-2</v>
      </c>
      <c r="I15" s="21">
        <f t="shared" si="10"/>
        <v>1.9670797665018964E-2</v>
      </c>
      <c r="J15" s="21">
        <f t="shared" si="10"/>
        <v>1.9651874494588082E-2</v>
      </c>
      <c r="K15" s="21">
        <f t="shared" si="10"/>
        <v>1.9628626401898018E-2</v>
      </c>
      <c r="L15" s="21">
        <f t="shared" si="10"/>
        <v>1.9601212877636734E-2</v>
      </c>
      <c r="M15" s="21">
        <f t="shared" si="10"/>
        <v>1.956979158264692E-2</v>
      </c>
      <c r="N15" s="21">
        <f t="shared" si="10"/>
        <v>1.9534518147264326E-2</v>
      </c>
      <c r="O15" s="21">
        <f t="shared" si="10"/>
        <v>1.9495545988014756E-2</v>
      </c>
      <c r="P15" s="21">
        <f t="shared" si="10"/>
        <v>1.9453026141242866E-2</v>
      </c>
      <c r="Q15" s="21">
        <f t="shared" si="10"/>
        <v>1.9407107113178213E-2</v>
      </c>
      <c r="R15" s="21">
        <f t="shared" si="10"/>
        <v>1.9357934745901955E-2</v>
      </c>
      <c r="S15" s="21">
        <f t="shared" si="10"/>
        <v>1.9305652098628043E-2</v>
      </c>
      <c r="T15" s="21">
        <f t="shared" si="10"/>
        <v>1.925039934367731E-2</v>
      </c>
      <c r="U15" s="21">
        <f t="shared" si="10"/>
        <v>1.91923136765015E-2</v>
      </c>
      <c r="V15" s="21">
        <f t="shared" si="10"/>
        <v>1.91315292390851E-2</v>
      </c>
      <c r="W15" s="21">
        <f t="shared" si="10"/>
        <v>1.9068177056046513E-2</v>
      </c>
      <c r="X15" s="21">
        <f t="shared" si="10"/>
        <v>1.9002384982747728E-2</v>
      </c>
      <c r="Y15" s="21">
        <f t="shared" si="10"/>
        <v>1.8934277664719831E-2</v>
      </c>
      <c r="Z15" s="21">
        <f t="shared" si="10"/>
        <v>1.8863976507714219E-2</v>
      </c>
      <c r="AA15" s="21">
        <f t="shared" si="10"/>
        <v>1.8791599657695585E-2</v>
      </c>
      <c r="AB15" s="21">
        <f t="shared" si="10"/>
        <v>1.8717261990103536E-2</v>
      </c>
      <c r="AC15" s="21">
        <f t="shared" si="10"/>
        <v>1.8641075107720274E-2</v>
      </c>
      <c r="AD15" s="21">
        <f t="shared" si="10"/>
        <v>1.85631473465032E-2</v>
      </c>
      <c r="AE15" s="21">
        <f t="shared" si="10"/>
        <v>1.8483583788753814E-2</v>
      </c>
      <c r="AF15" s="21">
        <f t="shared" si="10"/>
        <v>1.840248628302112E-2</v>
      </c>
      <c r="AG15" s="21">
        <f t="shared" si="10"/>
        <v>1.8319953470153562E-2</v>
      </c>
      <c r="AH15" s="21">
        <f t="shared" si="10"/>
        <v>1.8236080814943399E-2</v>
      </c>
      <c r="AI15" s="21">
        <f t="shared" si="10"/>
        <v>1.8150960642826092E-2</v>
      </c>
      <c r="AJ15" s="21">
        <f t="shared" si="10"/>
        <v>1.8064682181127587E-2</v>
      </c>
      <c r="AK15" s="21">
        <f t="shared" si="10"/>
        <v>1.7977331604372645E-2</v>
      </c>
      <c r="AL15" s="21">
        <f t="shared" si="10"/>
        <v>1.788899208319733E-2</v>
      </c>
      <c r="AM15" s="21">
        <f t="shared" si="10"/>
        <v>1.7799743836433634E-2</v>
      </c>
      <c r="AN15" s="21">
        <f t="shared" si="10"/>
        <v>1.7709664185956209E-2</v>
      </c>
      <c r="AO15" s="21">
        <f t="shared" si="10"/>
        <v>1.7618827613910641E-2</v>
      </c>
      <c r="AP15" s="21">
        <f t="shared" si="10"/>
        <v>1.7527305821966647E-2</v>
      </c>
      <c r="AQ15" s="21">
        <f t="shared" si="10"/>
        <v>1.743516779225892E-2</v>
      </c>
      <c r="AR15" s="21">
        <f t="shared" si="10"/>
        <v>1.7342479849709432E-2</v>
      </c>
      <c r="AS15" s="32">
        <f t="shared" si="10"/>
        <v>1.7249305725439971E-2</v>
      </c>
      <c r="AT15" s="21">
        <f t="shared" si="10"/>
        <v>1.7155706621011926E-2</v>
      </c>
      <c r="AU15" s="21">
        <f t="shared" si="10"/>
        <v>1.7061741273244301E-2</v>
      </c>
      <c r="AV15" s="21">
        <f t="shared" si="10"/>
        <v>1.6967466019389268E-2</v>
      </c>
      <c r="AW15" s="21">
        <f t="shared" si="10"/>
        <v>1.6872934862454579E-2</v>
      </c>
      <c r="AX15" s="21">
        <f t="shared" si="10"/>
        <v>1.677819953648851E-2</v>
      </c>
      <c r="AY15" s="21">
        <f t="shared" si="10"/>
        <v>1.6683309571652913E-2</v>
      </c>
      <c r="AZ15" s="21">
        <f t="shared" si="10"/>
        <v>1.6588312358932995E-2</v>
      </c>
      <c r="BA15" s="21">
        <f t="shared" si="10"/>
        <v>1.6493253214341773E-2</v>
      </c>
      <c r="BB15" s="21">
        <f t="shared" si="10"/>
        <v>1.6398175442495437E-2</v>
      </c>
      <c r="BC15" s="21">
        <f t="shared" si="10"/>
        <v>1.6303120399448024E-2</v>
      </c>
      <c r="BD15" s="21">
        <f t="shared" si="10"/>
        <v>1.6208127554684267E-2</v>
      </c>
      <c r="BE15" s="21">
        <f t="shared" si="10"/>
        <v>1.6113234533206372E-2</v>
      </c>
      <c r="BF15" s="21">
        <f t="shared" si="10"/>
        <v>1.6018477249547504E-2</v>
      </c>
      <c r="BG15" s="21">
        <f t="shared" si="10"/>
        <v>1.5923889858611845E-2</v>
      </c>
      <c r="BH15" s="21">
        <f t="shared" si="10"/>
        <v>1.5829504883907372E-2</v>
      </c>
      <c r="BI15" s="21">
        <f t="shared" si="10"/>
        <v>1.5735353257057039E-2</v>
      </c>
      <c r="BJ15" s="21">
        <f t="shared" si="10"/>
        <v>1.5641464373277639E-2</v>
      </c>
      <c r="BK15" s="21">
        <f t="shared" si="10"/>
        <v>1.5547866145611803E-2</v>
      </c>
      <c r="BL15" s="21">
        <f t="shared" si="10"/>
        <v>1.5454585057888369E-2</v>
      </c>
      <c r="BM15" s="21">
        <f t="shared" si="10"/>
        <v>1.5361646216389999E-2</v>
      </c>
      <c r="BN15" s="21">
        <f t="shared" si="10"/>
        <v>1.5269073400214245E-2</v>
      </c>
      <c r="BO15" s="21">
        <f t="shared" si="10"/>
        <v>1.5176889110321974E-2</v>
      </c>
      <c r="BP15" s="21">
        <f t="shared" si="10"/>
        <v>1.5085114617264066E-2</v>
      </c>
      <c r="BQ15" s="21">
        <f t="shared" si="10"/>
        <v>1.499377000759298E-2</v>
      </c>
      <c r="BR15" s="21">
        <f t="shared" si="10"/>
        <v>1.4902874228955384E-2</v>
      </c>
      <c r="BS15" s="21">
        <f t="shared" ref="BS15:CL15" si="11">RATE(84,1,BS43,0)</f>
        <v>1.4812445133881282E-2</v>
      </c>
      <c r="BT15" s="21">
        <f t="shared" si="11"/>
        <v>1.4722499522272801E-2</v>
      </c>
      <c r="BU15" s="21">
        <f t="shared" si="11"/>
        <v>1.4633053182610377E-2</v>
      </c>
      <c r="BV15" s="21">
        <f t="shared" si="11"/>
        <v>1.4544120931890156E-2</v>
      </c>
      <c r="BW15" s="21">
        <f t="shared" si="11"/>
        <v>1.4455716654309288E-2</v>
      </c>
      <c r="BX15" s="21">
        <f t="shared" si="11"/>
        <v>1.4367853338719518E-2</v>
      </c>
      <c r="BY15" s="21">
        <f t="shared" si="11"/>
        <v>1.4280543114869981E-2</v>
      </c>
      <c r="BZ15" s="21">
        <f t="shared" si="11"/>
        <v>1.4193797288461278E-2</v>
      </c>
      <c r="CA15" s="21">
        <f t="shared" si="11"/>
        <v>1.4107626375033024E-2</v>
      </c>
      <c r="CB15" s="21">
        <f t="shared" si="11"/>
        <v>1.4022040132711657E-2</v>
      </c>
      <c r="CC15" s="21">
        <f t="shared" si="11"/>
        <v>1.3937047593841137E-2</v>
      </c>
      <c r="CD15" s="21">
        <f t="shared" si="11"/>
        <v>1.3852657095523961E-2</v>
      </c>
      <c r="CE15" s="21">
        <f t="shared" si="11"/>
        <v>1.3768876309098696E-2</v>
      </c>
      <c r="CF15" s="21">
        <f t="shared" si="11"/>
        <v>1.3685712268578187E-2</v>
      </c>
      <c r="CG15" s="21">
        <f t="shared" si="11"/>
        <v>1.3603171398079856E-2</v>
      </c>
      <c r="CH15" s="21">
        <f t="shared" si="11"/>
        <v>1.3521259538269841E-2</v>
      </c>
      <c r="CI15" s="21">
        <f t="shared" si="11"/>
        <v>1.3439981971852434E-2</v>
      </c>
      <c r="CJ15" s="21">
        <f t="shared" si="11"/>
        <v>1.3359343448128511E-2</v>
      </c>
      <c r="CK15" s="21">
        <f t="shared" si="11"/>
        <v>1.3279348206650912E-2</v>
      </c>
      <c r="CL15" s="21">
        <f t="shared" si="11"/>
        <v>1.3200000000005284E-2</v>
      </c>
    </row>
    <row r="16" spans="5:90" ht="18" customHeight="1" x14ac:dyDescent="0.25">
      <c r="F16" s="29">
        <v>1.35E-2</v>
      </c>
      <c r="G16" s="21">
        <f t="shared" ref="G16:BR16" si="12">RATE(84,1,G44,0)</f>
        <v>1.9695254520870269E-2</v>
      </c>
      <c r="H16" s="21">
        <f t="shared" si="12"/>
        <v>1.9685921604269283E-2</v>
      </c>
      <c r="I16" s="21">
        <f t="shared" si="12"/>
        <v>1.9672158280320463E-2</v>
      </c>
      <c r="J16" s="21">
        <f t="shared" si="12"/>
        <v>1.9654120322071311E-2</v>
      </c>
      <c r="K16" s="21">
        <f t="shared" si="12"/>
        <v>1.9631962018531311E-2</v>
      </c>
      <c r="L16" s="21">
        <f t="shared" si="12"/>
        <v>1.9605835964292093E-2</v>
      </c>
      <c r="M16" s="21">
        <f t="shared" si="12"/>
        <v>1.9575892865791731E-2</v>
      </c>
      <c r="N16" s="21">
        <f t="shared" si="12"/>
        <v>1.9542281363910122E-2</v>
      </c>
      <c r="O16" s="21">
        <f t="shared" si="12"/>
        <v>1.9505147872507549E-2</v>
      </c>
      <c r="P16" s="21">
        <f t="shared" si="12"/>
        <v>1.946463643247006E-2</v>
      </c>
      <c r="Q16" s="21">
        <f t="shared" si="12"/>
        <v>1.9420888580766876E-2</v>
      </c>
      <c r="R16" s="21">
        <f t="shared" si="12"/>
        <v>1.9374043233991188E-2</v>
      </c>
      <c r="S16" s="21">
        <f t="shared" si="12"/>
        <v>1.932423658581749E-2</v>
      </c>
      <c r="T16" s="21">
        <f t="shared" si="12"/>
        <v>1.9271602017781213E-2</v>
      </c>
      <c r="U16" s="21">
        <f t="shared" si="12"/>
        <v>1.9216270022770141E-2</v>
      </c>
      <c r="V16" s="21">
        <f t="shared" si="12"/>
        <v>1.915836814059679E-2</v>
      </c>
      <c r="W16" s="21">
        <f t="shared" si="12"/>
        <v>1.9098020905016791E-2</v>
      </c>
      <c r="X16" s="21">
        <f t="shared" si="12"/>
        <v>1.9035349801551853E-2</v>
      </c>
      <c r="Y16" s="21">
        <f t="shared" si="12"/>
        <v>1.8970473235476685E-2</v>
      </c>
      <c r="Z16" s="21">
        <f t="shared" si="12"/>
        <v>1.8903506509335328E-2</v>
      </c>
      <c r="AA16" s="21">
        <f t="shared" si="12"/>
        <v>1.8834561809357726E-2</v>
      </c>
      <c r="AB16" s="21">
        <f t="shared" si="12"/>
        <v>1.8763748200162366E-2</v>
      </c>
      <c r="AC16" s="21">
        <f t="shared" si="12"/>
        <v>1.8691171627141165E-2</v>
      </c>
      <c r="AD16" s="21">
        <f t="shared" si="12"/>
        <v>1.861693492594178E-2</v>
      </c>
      <c r="AE16" s="21">
        <f t="shared" si="12"/>
        <v>1.8541137838478394E-2</v>
      </c>
      <c r="AF16" s="21">
        <f t="shared" si="12"/>
        <v>1.8463877034925864E-2</v>
      </c>
      <c r="AG16" s="21">
        <f t="shared" si="12"/>
        <v>1.8385246141166649E-2</v>
      </c>
      <c r="AH16" s="21">
        <f t="shared" si="12"/>
        <v>1.8305335771189656E-2</v>
      </c>
      <c r="AI16" s="21">
        <f t="shared" si="12"/>
        <v>1.822423356395628E-2</v>
      </c>
      <c r="AJ16" s="21">
        <f t="shared" si="12"/>
        <v>1.814202422427677E-2</v>
      </c>
      <c r="AK16" s="21">
        <f t="shared" si="12"/>
        <v>1.8058789567260067E-2</v>
      </c>
      <c r="AL16" s="21">
        <f t="shared" si="12"/>
        <v>1.7974608565927495E-2</v>
      </c>
      <c r="AM16" s="21">
        <f t="shared" si="12"/>
        <v>1.7889557401598817E-2</v>
      </c>
      <c r="AN16" s="21">
        <f t="shared" si="12"/>
        <v>1.7803709516690209E-2</v>
      </c>
      <c r="AO16" s="21">
        <f t="shared" si="12"/>
        <v>1.7717135669576341E-2</v>
      </c>
      <c r="AP16" s="21">
        <f t="shared" si="12"/>
        <v>1.7629903991199999E-2</v>
      </c>
      <c r="AQ16" s="21">
        <f t="shared" si="12"/>
        <v>1.7542080043131372E-2</v>
      </c>
      <c r="AR16" s="21">
        <f t="shared" si="12"/>
        <v>1.7453726876795465E-2</v>
      </c>
      <c r="AS16" s="32">
        <f t="shared" si="12"/>
        <v>1.7364905093615494E-2</v>
      </c>
      <c r="AT16" s="21">
        <f t="shared" si="12"/>
        <v>1.7275672905830763E-2</v>
      </c>
      <c r="AU16" s="21">
        <f t="shared" si="12"/>
        <v>1.7186086197772562E-2</v>
      </c>
      <c r="AV16" s="21">
        <f t="shared" si="12"/>
        <v>1.709619858739693E-2</v>
      </c>
      <c r="AW16" s="21">
        <f t="shared" si="12"/>
        <v>1.7006061487887934E-2</v>
      </c>
      <c r="AX16" s="21">
        <f t="shared" si="12"/>
        <v>1.6915724169168155E-2</v>
      </c>
      <c r="AY16" s="21">
        <f t="shared" si="12"/>
        <v>1.6825233819159825E-2</v>
      </c>
      <c r="AZ16" s="21">
        <f t="shared" si="12"/>
        <v>1.6734635604661326E-2</v>
      </c>
      <c r="BA16" s="21">
        <f t="shared" si="12"/>
        <v>1.664397273171352E-2</v>
      </c>
      <c r="BB16" s="21">
        <f t="shared" si="12"/>
        <v>1.6553286505347396E-2</v>
      </c>
      <c r="BC16" s="21">
        <f t="shared" si="12"/>
        <v>1.646261638860794E-2</v>
      </c>
      <c r="BD16" s="21">
        <f t="shared" si="12"/>
        <v>1.6372000060774168E-2</v>
      </c>
      <c r="BE16" s="21">
        <f t="shared" si="12"/>
        <v>1.6281473474690708E-2</v>
      </c>
      <c r="BF16" s="21">
        <f t="shared" si="12"/>
        <v>1.6191070895655118E-2</v>
      </c>
      <c r="BG16" s="21">
        <f t="shared" si="12"/>
        <v>1.6100825025018757E-2</v>
      </c>
      <c r="BH16" s="21">
        <f t="shared" si="12"/>
        <v>1.6010766954590128E-2</v>
      </c>
      <c r="BI16" s="21">
        <f t="shared" si="12"/>
        <v>1.5920926284901538E-2</v>
      </c>
      <c r="BJ16" s="21">
        <f t="shared" si="12"/>
        <v>1.5831331161368499E-2</v>
      </c>
      <c r="BK16" s="21">
        <f t="shared" si="12"/>
        <v>1.5742008325185412E-2</v>
      </c>
      <c r="BL16" s="21">
        <f t="shared" si="12"/>
        <v>1.5652983163029828E-2</v>
      </c>
      <c r="BM16" s="21">
        <f t="shared" si="12"/>
        <v>1.5564279755559112E-2</v>
      </c>
      <c r="BN16" s="21">
        <f t="shared" si="12"/>
        <v>1.5475920924689725E-2</v>
      </c>
      <c r="BO16" s="21">
        <f t="shared" si="12"/>
        <v>1.5387928279648603E-2</v>
      </c>
      <c r="BP16" s="21">
        <f t="shared" si="12"/>
        <v>1.5300322261795046E-2</v>
      </c>
      <c r="BQ16" s="21">
        <f t="shared" si="12"/>
        <v>1.5213122188213583E-2</v>
      </c>
      <c r="BR16" s="21">
        <f t="shared" si="12"/>
        <v>1.5126346294083673E-2</v>
      </c>
      <c r="BS16" s="21">
        <f t="shared" ref="BS16:CL16" si="13">RATE(84,1,BS44,0)</f>
        <v>1.5040011773829102E-2</v>
      </c>
      <c r="BT16" s="21">
        <f t="shared" si="13"/>
        <v>1.4954134821061629E-2</v>
      </c>
      <c r="BU16" s="21">
        <f t="shared" si="13"/>
        <v>1.4868730667327714E-2</v>
      </c>
      <c r="BV16" s="21">
        <f t="shared" si="13"/>
        <v>1.4783813619673979E-2</v>
      </c>
      <c r="BW16" s="21">
        <f t="shared" si="13"/>
        <v>1.4699397097049727E-2</v>
      </c>
      <c r="BX16" s="21">
        <f t="shared" si="13"/>
        <v>1.4615493665558685E-2</v>
      </c>
      <c r="BY16" s="21">
        <f t="shared" si="13"/>
        <v>1.4532115072586478E-2</v>
      </c>
      <c r="BZ16" s="21">
        <f t="shared" si="13"/>
        <v>1.4449272279819902E-2</v>
      </c>
      <c r="CA16" s="21">
        <f t="shared" si="13"/>
        <v>1.436697549517906E-2</v>
      </c>
      <c r="CB16" s="21">
        <f t="shared" si="13"/>
        <v>1.4285234203689068E-2</v>
      </c>
      <c r="CC16" s="21">
        <f t="shared" si="13"/>
        <v>1.420405719731011E-2</v>
      </c>
      <c r="CD16" s="21">
        <f t="shared" si="13"/>
        <v>1.412345260375061E-2</v>
      </c>
      <c r="CE16" s="21">
        <f t="shared" si="13"/>
        <v>1.4043427914291624E-2</v>
      </c>
      <c r="CF16" s="21">
        <f t="shared" si="13"/>
        <v>1.396399001063988E-2</v>
      </c>
      <c r="CG16" s="21">
        <f t="shared" si="13"/>
        <v>1.3885145190840532E-2</v>
      </c>
      <c r="CH16" s="21">
        <f t="shared" si="13"/>
        <v>1.3806899194271211E-2</v>
      </c>
      <c r="CI16" s="21">
        <f t="shared" si="13"/>
        <v>1.3729257225742296E-2</v>
      </c>
      <c r="CJ16" s="21">
        <f t="shared" si="13"/>
        <v>1.3652223978729838E-2</v>
      </c>
      <c r="CK16" s="21">
        <f t="shared" si="13"/>
        <v>1.3575803657765041E-2</v>
      </c>
      <c r="CL16" s="21">
        <f t="shared" si="13"/>
        <v>1.3500000000003523E-2</v>
      </c>
    </row>
    <row r="17" spans="6:90" ht="18" customHeight="1" x14ac:dyDescent="0.25">
      <c r="F17" s="29">
        <v>1.4E-2</v>
      </c>
      <c r="G17" s="21">
        <f t="shared" ref="G17:BR17" si="14">RATE(84,1,G45,0)</f>
        <v>1.969563933185231E-2</v>
      </c>
      <c r="H17" s="21">
        <f t="shared" si="14"/>
        <v>1.968706510727436E-2</v>
      </c>
      <c r="I17" s="21">
        <f t="shared" si="14"/>
        <v>1.9674423195177451E-2</v>
      </c>
      <c r="J17" s="21">
        <f t="shared" si="14"/>
        <v>1.9657858020708949E-2</v>
      </c>
      <c r="K17" s="21">
        <f t="shared" si="14"/>
        <v>1.9637512380797081E-2</v>
      </c>
      <c r="L17" s="21">
        <f t="shared" si="14"/>
        <v>1.9613527274114913E-2</v>
      </c>
      <c r="M17" s="21">
        <f t="shared" si="14"/>
        <v>1.9586041745469615E-2</v>
      </c>
      <c r="N17" s="21">
        <f t="shared" si="14"/>
        <v>1.9555192744257183E-2</v>
      </c>
      <c r="O17" s="21">
        <f t="shared" si="14"/>
        <v>1.9521114996579415E-2</v>
      </c>
      <c r="P17" s="21">
        <f t="shared" si="14"/>
        <v>1.9483940890579393E-2</v>
      </c>
      <c r="Q17" s="21">
        <f t="shared" si="14"/>
        <v>1.9443800374518275E-2</v>
      </c>
      <c r="R17" s="21">
        <f t="shared" si="14"/>
        <v>1.9400820867089576E-2</v>
      </c>
      <c r="S17" s="21">
        <f t="shared" si="14"/>
        <v>1.9355127179446194E-2</v>
      </c>
      <c r="T17" s="21">
        <f t="shared" si="14"/>
        <v>1.9306841448397703E-2</v>
      </c>
      <c r="U17" s="21">
        <f t="shared" si="14"/>
        <v>1.9256083080225576E-2</v>
      </c>
      <c r="V17" s="21">
        <f t="shared" si="14"/>
        <v>1.9202968704561216E-2</v>
      </c>
      <c r="W17" s="21">
        <f t="shared" si="14"/>
        <v>1.9147612137759895E-2</v>
      </c>
      <c r="X17" s="21">
        <f t="shared" si="14"/>
        <v>1.9090124355217387E-2</v>
      </c>
      <c r="Y17" s="21">
        <f t="shared" si="14"/>
        <v>1.9030613472069205E-2</v>
      </c>
      <c r="Z17" s="21">
        <f t="shared" si="14"/>
        <v>1.8969184731729594E-2</v>
      </c>
      <c r="AA17" s="21">
        <f t="shared" si="14"/>
        <v>1.890594050172939E-2</v>
      </c>
      <c r="AB17" s="21">
        <f t="shared" si="14"/>
        <v>1.8840980276331711E-2</v>
      </c>
      <c r="AC17" s="21">
        <f t="shared" si="14"/>
        <v>1.8774400685412865E-2</v>
      </c>
      <c r="AD17" s="21">
        <f t="shared" si="14"/>
        <v>1.8706295509114831E-2</v>
      </c>
      <c r="AE17" s="21">
        <f t="shared" si="14"/>
        <v>1.8636755697792402E-2</v>
      </c>
      <c r="AF17" s="21">
        <f t="shared" si="14"/>
        <v>1.8565869396795873E-2</v>
      </c>
      <c r="AG17" s="21">
        <f t="shared" si="14"/>
        <v>1.849372197564873E-2</v>
      </c>
      <c r="AH17" s="21">
        <f t="shared" si="14"/>
        <v>1.8420396061200019E-2</v>
      </c>
      <c r="AI17" s="21">
        <f t="shared" si="14"/>
        <v>1.8345971574352905E-2</v>
      </c>
      <c r="AJ17" s="21">
        <f t="shared" si="14"/>
        <v>1.8270525769984555E-2</v>
      </c>
      <c r="AK17" s="21">
        <f t="shared" si="14"/>
        <v>1.8194133279702908E-2</v>
      </c>
      <c r="AL17" s="21">
        <f t="shared" si="14"/>
        <v>1.8116866157095627E-2</v>
      </c>
      <c r="AM17" s="21">
        <f t="shared" si="14"/>
        <v>1.8038793925153312E-2</v>
      </c>
      <c r="AN17" s="21">
        <f t="shared" si="14"/>
        <v>1.795998362556692E-2</v>
      </c>
      <c r="AO17" s="21">
        <f t="shared" si="14"/>
        <v>1.7880499869614014E-2</v>
      </c>
      <c r="AP17" s="21">
        <f t="shared" si="14"/>
        <v>1.7800404890378471E-2</v>
      </c>
      <c r="AQ17" s="21">
        <f t="shared" si="14"/>
        <v>1.7719758596049896E-2</v>
      </c>
      <c r="AR17" s="21">
        <f t="shared" si="14"/>
        <v>1.7638618624082572E-2</v>
      </c>
      <c r="AS17" s="32">
        <f t="shared" si="14"/>
        <v>1.7557040396000409E-2</v>
      </c>
      <c r="AT17" s="21">
        <f t="shared" si="14"/>
        <v>1.7475077172654115E-2</v>
      </c>
      <c r="AU17" s="21">
        <f t="shared" si="14"/>
        <v>1.739278010975253E-2</v>
      </c>
      <c r="AV17" s="21">
        <f t="shared" si="14"/>
        <v>1.7310198313502227E-2</v>
      </c>
      <c r="AW17" s="21">
        <f t="shared" si="14"/>
        <v>1.7227378896209154E-2</v>
      </c>
      <c r="AX17" s="21">
        <f t="shared" si="14"/>
        <v>1.714436703170227E-2</v>
      </c>
      <c r="AY17" s="21">
        <f t="shared" si="14"/>
        <v>1.706120601045634E-2</v>
      </c>
      <c r="AZ17" s="21">
        <f t="shared" si="14"/>
        <v>1.6977937294303264E-2</v>
      </c>
      <c r="BA17" s="21">
        <f t="shared" si="14"/>
        <v>1.6894600570629026E-2</v>
      </c>
      <c r="BB17" s="21">
        <f t="shared" si="14"/>
        <v>1.6811233805967184E-2</v>
      </c>
      <c r="BC17" s="21">
        <f t="shared" si="14"/>
        <v>1.6727873298908846E-2</v>
      </c>
      <c r="BD17" s="21">
        <f t="shared" si="14"/>
        <v>1.6644553732257397E-2</v>
      </c>
      <c r="BE17" s="21">
        <f t="shared" si="14"/>
        <v>1.6561308224365481E-2</v>
      </c>
      <c r="BF17" s="21">
        <f t="shared" si="14"/>
        <v>1.6478168379599555E-2</v>
      </c>
      <c r="BG17" s="21">
        <f t="shared" si="14"/>
        <v>1.6395164337886223E-2</v>
      </c>
      <c r="BH17" s="21">
        <f t="shared" si="14"/>
        <v>1.6312324823298412E-2</v>
      </c>
      <c r="BI17" s="21">
        <f t="shared" si="14"/>
        <v>1.6229677191650017E-2</v>
      </c>
      <c r="BJ17" s="21">
        <f t="shared" si="14"/>
        <v>1.6147247458751329E-2</v>
      </c>
      <c r="BK17" s="21">
        <f t="shared" si="14"/>
        <v>1.6065060417560059E-2</v>
      </c>
      <c r="BL17" s="21">
        <f t="shared" si="14"/>
        <v>1.5983139577553974E-2</v>
      </c>
      <c r="BM17" s="21">
        <f t="shared" si="14"/>
        <v>1.5901507276714875E-2</v>
      </c>
      <c r="BN17" s="21">
        <f t="shared" si="14"/>
        <v>1.5820184707045548E-2</v>
      </c>
      <c r="BO17" s="21">
        <f t="shared" si="14"/>
        <v>1.5739191955795647E-2</v>
      </c>
      <c r="BP17" s="21">
        <f t="shared" si="14"/>
        <v>1.5658548045599234E-2</v>
      </c>
      <c r="BQ17" s="21">
        <f t="shared" si="14"/>
        <v>1.5578270973525597E-2</v>
      </c>
      <c r="BR17" s="21">
        <f t="shared" si="14"/>
        <v>1.5498377749044783E-2</v>
      </c>
      <c r="BS17" s="21">
        <f t="shared" ref="BS17:CL17" si="15">RATE(84,1,BS45,0)</f>
        <v>1.5418884430921508E-2</v>
      </c>
      <c r="BT17" s="21">
        <f t="shared" si="15"/>
        <v>1.5339806163037404E-2</v>
      </c>
      <c r="BU17" s="21">
        <f t="shared" si="15"/>
        <v>1.5261157209160848E-2</v>
      </c>
      <c r="BV17" s="21">
        <f t="shared" si="15"/>
        <v>1.5182950986673199E-2</v>
      </c>
      <c r="BW17" s="21">
        <f t="shared" si="15"/>
        <v>1.5105200099266008E-2</v>
      </c>
      <c r="BX17" s="21">
        <f t="shared" si="15"/>
        <v>1.5027916368626156E-2</v>
      </c>
      <c r="BY17" s="21">
        <f t="shared" si="15"/>
        <v>1.4951110865125829E-2</v>
      </c>
      <c r="BZ17" s="21">
        <f t="shared" si="15"/>
        <v>1.4874793937533508E-2</v>
      </c>
      <c r="CA17" s="21">
        <f t="shared" si="15"/>
        <v>1.4798975241768745E-2</v>
      </c>
      <c r="CB17" s="21">
        <f t="shared" si="15"/>
        <v>1.472366376871441E-2</v>
      </c>
      <c r="CC17" s="21">
        <f t="shared" si="15"/>
        <v>1.4648867871113424E-2</v>
      </c>
      <c r="CD17" s="21">
        <f t="shared" si="15"/>
        <v>1.4574595289564864E-2</v>
      </c>
      <c r="CE17" s="21">
        <f t="shared" si="15"/>
        <v>1.4500853177642671E-2</v>
      </c>
      <c r="CF17" s="21">
        <f t="shared" si="15"/>
        <v>1.4427648126160637E-2</v>
      </c>
      <c r="CG17" s="21">
        <f t="shared" si="15"/>
        <v>1.4354986186599156E-2</v>
      </c>
      <c r="CH17" s="21">
        <f t="shared" si="15"/>
        <v>1.4282872893722142E-2</v>
      </c>
      <c r="CI17" s="21">
        <f t="shared" si="15"/>
        <v>1.4211313287400759E-2</v>
      </c>
      <c r="CJ17" s="21">
        <f t="shared" si="15"/>
        <v>1.4140311933666928E-2</v>
      </c>
      <c r="CK17" s="21">
        <f t="shared" si="15"/>
        <v>1.4069872945019476E-2</v>
      </c>
      <c r="CL17" s="21">
        <f t="shared" si="15"/>
        <v>1.400000000000144E-2</v>
      </c>
    </row>
    <row r="18" spans="6:90" ht="18" customHeight="1" x14ac:dyDescent="0.25">
      <c r="F18" s="29">
        <v>1.47E-2</v>
      </c>
      <c r="G18" s="21">
        <f t="shared" ref="G18:BR18" si="16">RATE(84,1,G46,0)</f>
        <v>1.9696177442020804E-2</v>
      </c>
      <c r="H18" s="21">
        <f t="shared" si="16"/>
        <v>1.9688663595732105E-2</v>
      </c>
      <c r="I18" s="21">
        <f t="shared" si="16"/>
        <v>1.9677588255495305E-2</v>
      </c>
      <c r="J18" s="21">
        <f t="shared" si="16"/>
        <v>1.9663079595357544E-2</v>
      </c>
      <c r="K18" s="21">
        <f t="shared" si="16"/>
        <v>1.9645264037643387E-2</v>
      </c>
      <c r="L18" s="21">
        <f t="shared" si="16"/>
        <v>1.9624266132996952E-2</v>
      </c>
      <c r="M18" s="21">
        <f t="shared" si="16"/>
        <v>1.9600208451843772E-2</v>
      </c>
      <c r="N18" s="21">
        <f t="shared" si="16"/>
        <v>1.957321148689908E-2</v>
      </c>
      <c r="O18" s="21">
        <f t="shared" si="16"/>
        <v>1.9543393566327588E-2</v>
      </c>
      <c r="P18" s="21">
        <f t="shared" si="16"/>
        <v>1.9510870777137215E-2</v>
      </c>
      <c r="Q18" s="21">
        <f t="shared" si="16"/>
        <v>1.9475756898374091E-2</v>
      </c>
      <c r="R18" s="21">
        <f t="shared" si="16"/>
        <v>1.9438163343675086E-2</v>
      </c>
      <c r="S18" s="21">
        <f t="shared" si="16"/>
        <v>1.9398199112722062E-2</v>
      </c>
      <c r="T18" s="21">
        <f t="shared" si="16"/>
        <v>1.9355970751143193E-2</v>
      </c>
      <c r="U18" s="21">
        <f t="shared" si="16"/>
        <v>1.931158231839903E-2</v>
      </c>
      <c r="V18" s="21">
        <f t="shared" si="16"/>
        <v>1.9265135363197579E-2</v>
      </c>
      <c r="W18" s="21">
        <f t="shared" si="16"/>
        <v>1.921672890598165E-2</v>
      </c>
      <c r="X18" s="21">
        <f t="shared" si="16"/>
        <v>1.9166459428043327E-2</v>
      </c>
      <c r="Y18" s="21">
        <f t="shared" si="16"/>
        <v>1.911442086682185E-2</v>
      </c>
      <c r="Z18" s="21">
        <f t="shared" si="16"/>
        <v>1.9060704616958205E-2</v>
      </c>
      <c r="AA18" s="21">
        <f t="shared" si="16"/>
        <v>1.9005399536683763E-2</v>
      </c>
      <c r="AB18" s="21">
        <f t="shared" si="16"/>
        <v>1.8948591959139685E-2</v>
      </c>
      <c r="AC18" s="21">
        <f t="shared" si="16"/>
        <v>1.8890365708233318E-2</v>
      </c>
      <c r="AD18" s="21">
        <f t="shared" si="16"/>
        <v>1.8830802118650961E-2</v>
      </c>
      <c r="AE18" s="21">
        <f t="shared" si="16"/>
        <v>1.8769980059666316E-2</v>
      </c>
      <c r="AF18" s="21">
        <f t="shared" si="16"/>
        <v>1.8707975962395644E-2</v>
      </c>
      <c r="AG18" s="21">
        <f t="shared" si="16"/>
        <v>1.8644863850166581E-2</v>
      </c>
      <c r="AH18" s="21">
        <f t="shared" si="16"/>
        <v>1.8580715371685669E-2</v>
      </c>
      <c r="AI18" s="21">
        <f t="shared" si="16"/>
        <v>1.8515599836704633E-2</v>
      </c>
      <c r="AJ18" s="21">
        <f t="shared" si="16"/>
        <v>1.8449584253899559E-2</v>
      </c>
      <c r="AK18" s="21">
        <f t="shared" si="16"/>
        <v>1.8382733370696968E-2</v>
      </c>
      <c r="AL18" s="21">
        <f t="shared" si="16"/>
        <v>1.8315109714794352E-2</v>
      </c>
      <c r="AM18" s="21">
        <f t="shared" si="16"/>
        <v>1.8246773637135151E-2</v>
      </c>
      <c r="AN18" s="21">
        <f t="shared" si="16"/>
        <v>1.8177783356120292E-2</v>
      </c>
      <c r="AO18" s="21">
        <f t="shared" si="16"/>
        <v>1.810819500284502E-2</v>
      </c>
      <c r="AP18" s="21">
        <f t="shared" si="16"/>
        <v>1.8038062667171385E-2</v>
      </c>
      <c r="AQ18" s="21">
        <f t="shared" si="16"/>
        <v>1.7967438444452439E-2</v>
      </c>
      <c r="AR18" s="21">
        <f t="shared" si="16"/>
        <v>1.7896372482745854E-2</v>
      </c>
      <c r="AS18" s="32">
        <f t="shared" si="16"/>
        <v>1.7824913030361645E-2</v>
      </c>
      <c r="AT18" s="21">
        <f t="shared" si="16"/>
        <v>1.7753106483599228E-2</v>
      </c>
      <c r="AU18" s="21">
        <f t="shared" si="16"/>
        <v>1.7680997434549785E-2</v>
      </c>
      <c r="AV18" s="21">
        <f t="shared" si="16"/>
        <v>1.7608628718839E-2</v>
      </c>
      <c r="AW18" s="21">
        <f t="shared" si="16"/>
        <v>1.7536041463204845E-2</v>
      </c>
      <c r="AX18" s="21">
        <f t="shared" si="16"/>
        <v>1.7463275132808796E-2</v>
      </c>
      <c r="AY18" s="21">
        <f t="shared" si="16"/>
        <v>1.7390367578194357E-2</v>
      </c>
      <c r="AZ18" s="21">
        <f t="shared" si="16"/>
        <v>1.7317355081808965E-2</v>
      </c>
      <c r="BA18" s="21">
        <f t="shared" si="16"/>
        <v>1.7244272404017599E-2</v>
      </c>
      <c r="BB18" s="21">
        <f t="shared" si="16"/>
        <v>1.7171152828544145E-2</v>
      </c>
      <c r="BC18" s="21">
        <f t="shared" si="16"/>
        <v>1.7098028207283657E-2</v>
      </c>
      <c r="BD18" s="21">
        <f t="shared" si="16"/>
        <v>1.7024929004430873E-2</v>
      </c>
      <c r="BE18" s="21">
        <f t="shared" si="16"/>
        <v>1.6951884339886633E-2</v>
      </c>
      <c r="BF18" s="21">
        <f t="shared" si="16"/>
        <v>1.6878922031898037E-2</v>
      </c>
      <c r="BG18" s="21">
        <f t="shared" si="16"/>
        <v>1.6806068638903125E-2</v>
      </c>
      <c r="BH18" s="21">
        <f t="shared" si="16"/>
        <v>1.6733349500551453E-2</v>
      </c>
      <c r="BI18" s="21">
        <f t="shared" si="16"/>
        <v>1.6660788777875281E-2</v>
      </c>
      <c r="BJ18" s="21">
        <f t="shared" si="16"/>
        <v>1.6588409492594981E-2</v>
      </c>
      <c r="BK18" s="21">
        <f t="shared" si="16"/>
        <v>1.6516233565542965E-2</v>
      </c>
      <c r="BL18" s="21">
        <f t="shared" si="16"/>
        <v>1.6444281854193863E-2</v>
      </c>
      <c r="BM18" s="21">
        <f t="shared" si="16"/>
        <v>1.6372574189294831E-2</v>
      </c>
      <c r="BN18" s="21">
        <f t="shared" si="16"/>
        <v>1.6301129410589494E-2</v>
      </c>
      <c r="BO18" s="21">
        <f t="shared" si="16"/>
        <v>1.6229965401633593E-2</v>
      </c>
      <c r="BP18" s="21">
        <f t="shared" si="16"/>
        <v>1.6159099105615554E-2</v>
      </c>
      <c r="BQ18" s="21">
        <f t="shared" si="16"/>
        <v>1.6088546629331141E-2</v>
      </c>
      <c r="BR18" s="21">
        <f t="shared" si="16"/>
        <v>1.6018323170820026E-2</v>
      </c>
      <c r="BS18" s="21">
        <f t="shared" ref="BS18:CL18" si="17">RATE(84,1,BS46,0)</f>
        <v>1.5948443118953989E-2</v>
      </c>
      <c r="BT18" s="21">
        <f t="shared" si="17"/>
        <v>1.587892006697339E-2</v>
      </c>
      <c r="BU18" s="21">
        <f t="shared" si="17"/>
        <v>1.5809766841938484E-2</v>
      </c>
      <c r="BV18" s="21">
        <f t="shared" si="17"/>
        <v>1.5740995533316742E-2</v>
      </c>
      <c r="BW18" s="21">
        <f t="shared" si="17"/>
        <v>1.5672617520717951E-2</v>
      </c>
      <c r="BX18" s="21">
        <f t="shared" si="17"/>
        <v>1.5604643500791916E-2</v>
      </c>
      <c r="BY18" s="21">
        <f t="shared" si="17"/>
        <v>1.5537083513300444E-2</v>
      </c>
      <c r="BZ18" s="21">
        <f t="shared" si="17"/>
        <v>1.5469946966379626E-2</v>
      </c>
      <c r="CA18" s="21">
        <f t="shared" si="17"/>
        <v>1.5403242661009906E-2</v>
      </c>
      <c r="CB18" s="21">
        <f t="shared" si="17"/>
        <v>1.5336978814704836E-2</v>
      </c>
      <c r="CC18" s="21">
        <f t="shared" si="17"/>
        <v>1.5271163084440157E-2</v>
      </c>
      <c r="CD18" s="21">
        <f t="shared" si="17"/>
        <v>1.5205802588839044E-2</v>
      </c>
      <c r="CE18" s="21">
        <f t="shared" si="17"/>
        <v>1.5140903929625497E-2</v>
      </c>
      <c r="CF18" s="21">
        <f t="shared" si="17"/>
        <v>1.5076473212371487E-2</v>
      </c>
      <c r="CG18" s="21">
        <f t="shared" si="17"/>
        <v>1.5012516066547842E-2</v>
      </c>
      <c r="CH18" s="21">
        <f t="shared" si="17"/>
        <v>1.4949037664900029E-2</v>
      </c>
      <c r="CI18" s="21">
        <f t="shared" si="17"/>
        <v>1.4886042742167409E-2</v>
      </c>
      <c r="CJ18" s="21">
        <f t="shared" si="17"/>
        <v>1.4823535613157935E-2</v>
      </c>
      <c r="CK18" s="21">
        <f t="shared" si="17"/>
        <v>1.476152019020243E-2</v>
      </c>
      <c r="CL18" s="21">
        <f t="shared" si="17"/>
        <v>1.470000000000074E-2</v>
      </c>
    </row>
    <row r="19" spans="6:90" ht="18" customHeight="1" x14ac:dyDescent="0.25">
      <c r="F19" s="29">
        <v>1.4999999999999999E-2</v>
      </c>
      <c r="G19" s="21">
        <f t="shared" ref="G19:BR19" si="18">RATE(84,1,G47,0)</f>
        <v>1.9696407837700273E-2</v>
      </c>
      <c r="H19" s="21">
        <f t="shared" si="18"/>
        <v>1.9689347800964079E-2</v>
      </c>
      <c r="I19" s="21">
        <f t="shared" si="18"/>
        <v>1.9678942635404685E-2</v>
      </c>
      <c r="J19" s="21">
        <f t="shared" si="18"/>
        <v>1.9665313420957314E-2</v>
      </c>
      <c r="K19" s="21">
        <f t="shared" si="18"/>
        <v>1.9648579460823167E-2</v>
      </c>
      <c r="L19" s="21">
        <f t="shared" si="18"/>
        <v>1.9628858180633691E-2</v>
      </c>
      <c r="M19" s="21">
        <f t="shared" si="18"/>
        <v>1.9606265037799137E-2</v>
      </c>
      <c r="N19" s="21">
        <f t="shared" si="18"/>
        <v>1.9580913440678249E-2</v>
      </c>
      <c r="O19" s="21">
        <f t="shared" si="18"/>
        <v>1.9552914677185913E-2</v>
      </c>
      <c r="P19" s="21">
        <f t="shared" si="18"/>
        <v>1.9522377852444154E-2</v>
      </c>
      <c r="Q19" s="21">
        <f t="shared" si="18"/>
        <v>1.9489409835068611E-2</v>
      </c>
      <c r="R19" s="21">
        <f t="shared" si="18"/>
        <v>1.9454115211675845E-2</v>
      </c>
      <c r="S19" s="21">
        <f t="shared" si="18"/>
        <v>1.9416596249195128E-2</v>
      </c>
      <c r="T19" s="21">
        <f t="shared" si="18"/>
        <v>1.937695286456299E-2</v>
      </c>
      <c r="U19" s="21">
        <f t="shared" si="18"/>
        <v>1.9335282601383577E-2</v>
      </c>
      <c r="V19" s="21">
        <f t="shared" si="18"/>
        <v>1.9291680613139392E-2</v>
      </c>
      <c r="W19" s="21">
        <f t="shared" si="18"/>
        <v>1.9246239652543483E-2</v>
      </c>
      <c r="X19" s="21">
        <f t="shared" si="18"/>
        <v>1.9199050066629524E-2</v>
      </c>
      <c r="Y19" s="21">
        <f t="shared" si="18"/>
        <v>1.9150199797189172E-2</v>
      </c>
      <c r="Z19" s="21">
        <f t="shared" si="18"/>
        <v>1.9099774386170137E-2</v>
      </c>
      <c r="AA19" s="21">
        <f t="shared" si="18"/>
        <v>1.9047856985666363E-2</v>
      </c>
      <c r="AB19" s="21">
        <f t="shared" si="18"/>
        <v>1.8994528372137307E-2</v>
      </c>
      <c r="AC19" s="21">
        <f t="shared" si="18"/>
        <v>1.8939866964513257E-2</v>
      </c>
      <c r="AD19" s="21">
        <f t="shared" si="18"/>
        <v>1.8883948845849215E-2</v>
      </c>
      <c r="AE19" s="21">
        <f t="shared" si="18"/>
        <v>1.8826847788210924E-2</v>
      </c>
      <c r="AF19" s="21">
        <f t="shared" si="18"/>
        <v>1.876863528048775E-2</v>
      </c>
      <c r="AG19" s="21">
        <f t="shared" si="18"/>
        <v>1.8709380558839122E-2</v>
      </c>
      <c r="AH19" s="21">
        <f t="shared" si="18"/>
        <v>1.8649150639502159E-2</v>
      </c>
      <c r="AI19" s="21">
        <f t="shared" si="18"/>
        <v>1.8588010353695051E-2</v>
      </c>
      <c r="AJ19" s="21">
        <f t="shared" si="18"/>
        <v>1.8526022384372044E-2</v>
      </c>
      <c r="AK19" s="21">
        <f t="shared" si="18"/>
        <v>1.8463247304593679E-2</v>
      </c>
      <c r="AL19" s="21">
        <f t="shared" si="18"/>
        <v>1.8399743617295551E-2</v>
      </c>
      <c r="AM19" s="21">
        <f t="shared" si="18"/>
        <v>1.8335567796249428E-2</v>
      </c>
      <c r="AN19" s="21">
        <f t="shared" si="18"/>
        <v>1.8270774328021776E-2</v>
      </c>
      <c r="AO19" s="21">
        <f t="shared" si="18"/>
        <v>1.8205415754754442E-2</v>
      </c>
      <c r="AP19" s="21">
        <f t="shared" si="18"/>
        <v>1.8139542717595866E-2</v>
      </c>
      <c r="AQ19" s="21">
        <f t="shared" si="18"/>
        <v>1.8073204000631594E-2</v>
      </c>
      <c r="AR19" s="21">
        <f t="shared" si="18"/>
        <v>1.8006446575166622E-2</v>
      </c>
      <c r="AS19" s="32">
        <f t="shared" si="18"/>
        <v>1.7939315644231096E-2</v>
      </c>
      <c r="AT19" s="21">
        <f t="shared" si="18"/>
        <v>1.7871854687182928E-2</v>
      </c>
      <c r="AU19" s="21">
        <f t="shared" si="18"/>
        <v>1.7804105504299318E-2</v>
      </c>
      <c r="AV19" s="21">
        <f t="shared" si="18"/>
        <v>1.7736108261252079E-2</v>
      </c>
      <c r="AW19" s="21">
        <f t="shared" si="18"/>
        <v>1.7667901533372873E-2</v>
      </c>
      <c r="AX19" s="21">
        <f t="shared" si="18"/>
        <v>1.7599522349627618E-2</v>
      </c>
      <c r="AY19" s="21">
        <f t="shared" si="18"/>
        <v>1.7531006236218005E-2</v>
      </c>
      <c r="AZ19" s="21">
        <f t="shared" si="18"/>
        <v>1.7462387259744392E-2</v>
      </c>
      <c r="BA19" s="21">
        <f t="shared" si="18"/>
        <v>1.7393698069867132E-2</v>
      </c>
      <c r="BB19" s="21">
        <f t="shared" si="18"/>
        <v>1.7324969941412204E-2</v>
      </c>
      <c r="BC19" s="21">
        <f t="shared" si="18"/>
        <v>1.7256232815868515E-2</v>
      </c>
      <c r="BD19" s="21">
        <f t="shared" si="18"/>
        <v>1.7187515342240126E-2</v>
      </c>
      <c r="BE19" s="21">
        <f t="shared" si="18"/>
        <v>1.7118844917209528E-2</v>
      </c>
      <c r="BF19" s="21">
        <f t="shared" si="18"/>
        <v>1.7050247724583023E-2</v>
      </c>
      <c r="BG19" s="21">
        <f t="shared" si="18"/>
        <v>1.6981748773990907E-2</v>
      </c>
      <c r="BH19" s="21">
        <f t="shared" si="18"/>
        <v>1.6913371938816167E-2</v>
      </c>
      <c r="BI19" s="21">
        <f t="shared" si="18"/>
        <v>1.6845139993334896E-2</v>
      </c>
      <c r="BJ19" s="21">
        <f t="shared" si="18"/>
        <v>1.6777074649052752E-2</v>
      </c>
      <c r="BK19" s="21">
        <f t="shared" si="18"/>
        <v>1.6709196590224337E-2</v>
      </c>
      <c r="BL19" s="21">
        <f t="shared" si="18"/>
        <v>1.6641525508546692E-2</v>
      </c>
      <c r="BM19" s="21">
        <f t="shared" si="18"/>
        <v>1.6574080137021441E-2</v>
      </c>
      <c r="BN19" s="21">
        <f t="shared" si="18"/>
        <v>1.6506878282982921E-2</v>
      </c>
      <c r="BO19" s="21">
        <f t="shared" si="18"/>
        <v>1.643993686028809E-2</v>
      </c>
      <c r="BP19" s="21">
        <f t="shared" si="18"/>
        <v>1.6373271920674413E-2</v>
      </c>
      <c r="BQ19" s="21">
        <f t="shared" si="18"/>
        <v>1.6306898684283682E-2</v>
      </c>
      <c r="BR19" s="21">
        <f t="shared" si="18"/>
        <v>1.6240831569360101E-2</v>
      </c>
      <c r="BS19" s="21">
        <f t="shared" ref="BS19:CL19" si="19">RATE(84,1,BS47,0)</f>
        <v>1.6175084203340087E-2</v>
      </c>
      <c r="BT19" s="21">
        <f t="shared" si="19"/>
        <v>1.6109669520809763E-2</v>
      </c>
      <c r="BU19" s="21">
        <f t="shared" si="19"/>
        <v>1.6044599687747435E-2</v>
      </c>
      <c r="BV19" s="21">
        <f t="shared" si="19"/>
        <v>1.597988619550977E-2</v>
      </c>
      <c r="BW19" s="21">
        <f t="shared" si="19"/>
        <v>1.5915539869922703E-2</v>
      </c>
      <c r="BX19" s="21">
        <f t="shared" si="19"/>
        <v>1.5851570896200644E-2</v>
      </c>
      <c r="BY19" s="21">
        <f t="shared" si="19"/>
        <v>1.5787988843111184E-2</v>
      </c>
      <c r="BZ19" s="21">
        <f t="shared" si="19"/>
        <v>1.5724802686395836E-2</v>
      </c>
      <c r="CA19" s="21">
        <f t="shared" si="19"/>
        <v>1.5662020831465805E-2</v>
      </c>
      <c r="CB19" s="21">
        <f t="shared" si="19"/>
        <v>1.5599651135379471E-2</v>
      </c>
      <c r="CC19" s="21">
        <f t="shared" si="19"/>
        <v>1.5537700928125786E-2</v>
      </c>
      <c r="CD19" s="21">
        <f t="shared" si="19"/>
        <v>1.5476177033222013E-2</v>
      </c>
      <c r="CE19" s="21">
        <f t="shared" si="19"/>
        <v>1.5415085787644032E-2</v>
      </c>
      <c r="CF19" s="21">
        <f t="shared" si="19"/>
        <v>1.5354433061104978E-2</v>
      </c>
      <c r="CG19" s="21">
        <f t="shared" si="19"/>
        <v>1.5294224274697879E-2</v>
      </c>
      <c r="CH19" s="21">
        <f t="shared" si="19"/>
        <v>1.5234464418916778E-2</v>
      </c>
      <c r="CI19" s="21">
        <f t="shared" si="19"/>
        <v>1.517515807107471E-2</v>
      </c>
      <c r="CJ19" s="21">
        <f t="shared" si="19"/>
        <v>1.5116309412132031E-2</v>
      </c>
      <c r="CK19" s="21">
        <f t="shared" si="19"/>
        <v>1.5057922242952521E-2</v>
      </c>
      <c r="CL19" s="21">
        <f t="shared" si="19"/>
        <v>1.5000000000000433E-2</v>
      </c>
    </row>
    <row r="20" spans="6:90" ht="18" customHeight="1" x14ac:dyDescent="0.25">
      <c r="F20" s="29">
        <v>1.55E-2</v>
      </c>
      <c r="G20" s="21">
        <f t="shared" ref="G20:BR20" si="20">RATE(84,1,G48,0)</f>
        <v>1.9696791533644748E-2</v>
      </c>
      <c r="H20" s="21">
        <f t="shared" si="20"/>
        <v>1.9690486996702894E-2</v>
      </c>
      <c r="I20" s="21">
        <f t="shared" si="20"/>
        <v>1.96811971748647E-2</v>
      </c>
      <c r="J20" s="21">
        <f t="shared" si="20"/>
        <v>1.9669031152946739E-2</v>
      </c>
      <c r="K20" s="21">
        <f t="shared" si="20"/>
        <v>1.9654096234489288E-2</v>
      </c>
      <c r="L20" s="21">
        <f t="shared" si="20"/>
        <v>1.9636497869597397E-2</v>
      </c>
      <c r="M20" s="21">
        <f t="shared" si="20"/>
        <v>1.9616339591003742E-2</v>
      </c>
      <c r="N20" s="21">
        <f t="shared" si="20"/>
        <v>1.959372295801818E-2</v>
      </c>
      <c r="O20" s="21">
        <f t="shared" si="20"/>
        <v>1.9568747508015398E-2</v>
      </c>
      <c r="P20" s="21">
        <f t="shared" si="20"/>
        <v>1.9541510715106417E-2</v>
      </c>
      <c r="Q20" s="21">
        <f t="shared" si="20"/>
        <v>1.9512107955641105E-2</v>
      </c>
      <c r="R20" s="21">
        <f t="shared" si="20"/>
        <v>1.948063248018056E-2</v>
      </c>
      <c r="S20" s="21">
        <f t="shared" si="20"/>
        <v>1.9447175391584262E-2</v>
      </c>
      <c r="T20" s="21">
        <f t="shared" si="20"/>
        <v>1.9411825628857515E-2</v>
      </c>
      <c r="U20" s="21">
        <f t="shared" si="20"/>
        <v>1.9374669956408963E-2</v>
      </c>
      <c r="V20" s="21">
        <f t="shared" si="20"/>
        <v>1.9335792958375814E-2</v>
      </c>
      <c r="W20" s="21">
        <f t="shared" si="20"/>
        <v>1.9295277037678575E-2</v>
      </c>
      <c r="X20" s="21">
        <f t="shared" si="20"/>
        <v>1.9253202419477023E-2</v>
      </c>
      <c r="Y20" s="21">
        <f t="shared" si="20"/>
        <v>1.9209647158709445E-2</v>
      </c>
      <c r="Z20" s="21">
        <f t="shared" si="20"/>
        <v>1.9164687151404985E-2</v>
      </c>
      <c r="AA20" s="21">
        <f t="shared" si="20"/>
        <v>1.9118396149470175E-2</v>
      </c>
      <c r="AB20" s="21">
        <f t="shared" si="20"/>
        <v>1.9070845778663571E-2</v>
      </c>
      <c r="AC20" s="21">
        <f t="shared" si="20"/>
        <v>1.902210555948176E-2</v>
      </c>
      <c r="AD20" s="21">
        <f t="shared" si="20"/>
        <v>1.8972242930691923E-2</v>
      </c>
      <c r="AE20" s="21">
        <f t="shared" si="20"/>
        <v>1.892132327526062E-2</v>
      </c>
      <c r="AF20" s="21">
        <f t="shared" si="20"/>
        <v>1.8869409948438075E-2</v>
      </c>
      <c r="AG20" s="21">
        <f t="shared" si="20"/>
        <v>1.8816564307768832E-2</v>
      </c>
      <c r="AH20" s="21">
        <f t="shared" si="20"/>
        <v>1.8762845744814613E-2</v>
      </c>
      <c r="AI20" s="21">
        <f t="shared" si="20"/>
        <v>1.8708311718385068E-2</v>
      </c>
      <c r="AJ20" s="21">
        <f t="shared" si="20"/>
        <v>1.8653017789082321E-2</v>
      </c>
      <c r="AK20" s="21">
        <f t="shared" si="20"/>
        <v>1.8597017654981358E-2</v>
      </c>
      <c r="AL20" s="21">
        <f t="shared" si="20"/>
        <v>1.8540363188273741E-2</v>
      </c>
      <c r="AM20" s="21">
        <f t="shared" si="20"/>
        <v>1.8483104472717473E-2</v>
      </c>
      <c r="AN20" s="21">
        <f t="shared" si="20"/>
        <v>1.8425289841744269E-2</v>
      </c>
      <c r="AO20" s="21">
        <f t="shared" si="20"/>
        <v>1.8366965917087235E-2</v>
      </c>
      <c r="AP20" s="21">
        <f t="shared" si="20"/>
        <v>1.8308177647797654E-2</v>
      </c>
      <c r="AQ20" s="21">
        <f t="shared" si="20"/>
        <v>1.8248968349536293E-2</v>
      </c>
      <c r="AR20" s="21">
        <f t="shared" si="20"/>
        <v>1.8189379744025718E-2</v>
      </c>
      <c r="AS20" s="32">
        <f t="shared" si="20"/>
        <v>1.8129451998565367E-2</v>
      </c>
      <c r="AT20" s="21">
        <f t="shared" si="20"/>
        <v>1.8069223765513679E-2</v>
      </c>
      <c r="AU20" s="21">
        <f t="shared" si="20"/>
        <v>1.8008732221655502E-2</v>
      </c>
      <c r="AV20" s="21">
        <f t="shared" si="20"/>
        <v>1.7948013107373321E-2</v>
      </c>
      <c r="AW20" s="21">
        <f t="shared" si="20"/>
        <v>1.7887100765555199E-2</v>
      </c>
      <c r="AX20" s="21">
        <f t="shared" si="20"/>
        <v>1.7826028180173068E-2</v>
      </c>
      <c r="AY20" s="21">
        <f t="shared" si="20"/>
        <v>1.7764827014475067E-2</v>
      </c>
      <c r="AZ20" s="21">
        <f t="shared" si="20"/>
        <v>1.7703527648738795E-2</v>
      </c>
      <c r="BA20" s="21">
        <f t="shared" si="20"/>
        <v>1.7642159217540573E-2</v>
      </c>
      <c r="BB20" s="21">
        <f t="shared" si="20"/>
        <v>1.7580749646499239E-2</v>
      </c>
      <c r="BC20" s="21">
        <f t="shared" si="20"/>
        <v>1.7519325688456638E-2</v>
      </c>
      <c r="BD20" s="21">
        <f t="shared" si="20"/>
        <v>1.7457912959066006E-2</v>
      </c>
      <c r="BE20" s="21">
        <f t="shared" si="20"/>
        <v>1.7396535971758116E-2</v>
      </c>
      <c r="BF20" s="21">
        <f t="shared" si="20"/>
        <v>1.7335218172063713E-2</v>
      </c>
      <c r="BG20" s="21">
        <f t="shared" si="20"/>
        <v>1.7273981971269892E-2</v>
      </c>
      <c r="BH20" s="21">
        <f t="shared" si="20"/>
        <v>1.7212848779396057E-2</v>
      </c>
      <c r="BI20" s="21">
        <f t="shared" si="20"/>
        <v>1.7151839037476229E-2</v>
      </c>
      <c r="BJ20" s="21">
        <f t="shared" si="20"/>
        <v>1.7090972249133588E-2</v>
      </c>
      <c r="BK20" s="21">
        <f t="shared" si="20"/>
        <v>1.7030267011444465E-2</v>
      </c>
      <c r="BL20" s="21">
        <f t="shared" si="20"/>
        <v>1.6969741045081997E-2</v>
      </c>
      <c r="BM20" s="21">
        <f t="shared" si="20"/>
        <v>1.6909411223738593E-2</v>
      </c>
      <c r="BN20" s="21">
        <f t="shared" si="20"/>
        <v>1.6849293602824948E-2</v>
      </c>
      <c r="BO20" s="21">
        <f t="shared" si="20"/>
        <v>1.6789403447446026E-2</v>
      </c>
      <c r="BP20" s="21">
        <f t="shared" si="20"/>
        <v>1.6729755259658117E-2</v>
      </c>
      <c r="BQ20" s="21">
        <f t="shared" si="20"/>
        <v>1.6670362805007239E-2</v>
      </c>
      <c r="BR20" s="21">
        <f t="shared" si="20"/>
        <v>1.6611239138357794E-2</v>
      </c>
      <c r="BS20" s="21">
        <f t="shared" ref="BS20:CL20" si="21">RATE(84,1,BS48,0)</f>
        <v>1.6552396629014608E-2</v>
      </c>
      <c r="BT20" s="21">
        <f t="shared" si="21"/>
        <v>1.649384698514918E-2</v>
      </c>
      <c r="BU20" s="21">
        <f t="shared" si="21"/>
        <v>1.643560127753517E-2</v>
      </c>
      <c r="BV20" s="21">
        <f t="shared" si="21"/>
        <v>1.6377669962604282E-2</v>
      </c>
      <c r="BW20" s="21">
        <f t="shared" si="21"/>
        <v>1.6320062904832514E-2</v>
      </c>
      <c r="BX20" s="21">
        <f t="shared" si="21"/>
        <v>1.6262789398466961E-2</v>
      </c>
      <c r="BY20" s="21">
        <f t="shared" si="21"/>
        <v>1.6205858188605503E-2</v>
      </c>
      <c r="BZ20" s="21">
        <f t="shared" si="21"/>
        <v>1.6149277473360837E-2</v>
      </c>
      <c r="CA20" s="21">
        <f t="shared" si="21"/>
        <v>1.6093054995681807E-2</v>
      </c>
      <c r="CB20" s="21">
        <f t="shared" si="21"/>
        <v>1.6037197956165851E-2</v>
      </c>
      <c r="CC20" s="21">
        <f t="shared" si="21"/>
        <v>1.598171310156098E-2</v>
      </c>
      <c r="CD20" s="21">
        <f t="shared" si="21"/>
        <v>1.5926606725566457E-2</v>
      </c>
      <c r="CE20" s="21">
        <f t="shared" si="21"/>
        <v>1.5871884686282596E-2</v>
      </c>
      <c r="CF20" s="21">
        <f t="shared" si="21"/>
        <v>1.5817552423103006E-2</v>
      </c>
      <c r="CG20" s="21">
        <f t="shared" si="21"/>
        <v>1.5763614973059257E-2</v>
      </c>
      <c r="CH20" s="21">
        <f t="shared" si="21"/>
        <v>1.5710076986635024E-2</v>
      </c>
      <c r="CI20" s="21">
        <f t="shared" si="21"/>
        <v>1.5656942743058531E-2</v>
      </c>
      <c r="CJ20" s="21">
        <f t="shared" si="21"/>
        <v>1.560421616509188E-2</v>
      </c>
      <c r="CK20" s="21">
        <f t="shared" si="21"/>
        <v>1.5551900833326623E-2</v>
      </c>
      <c r="CL20" s="21">
        <f t="shared" si="21"/>
        <v>1.5499999999999918E-2</v>
      </c>
    </row>
    <row r="21" spans="6:90" ht="18" customHeight="1" x14ac:dyDescent="0.25">
      <c r="F21" s="29">
        <v>1.6E-2</v>
      </c>
      <c r="G21" s="21">
        <f t="shared" ref="G21:BR21" si="22">RATE(84,1,G49,0)</f>
        <v>1.9697174858987001E-2</v>
      </c>
      <c r="H21" s="21">
        <f t="shared" si="22"/>
        <v>1.9691624761731204E-2</v>
      </c>
      <c r="I21" s="21">
        <f t="shared" si="22"/>
        <v>1.9683448269919572E-2</v>
      </c>
      <c r="J21" s="21">
        <f t="shared" si="22"/>
        <v>1.9672742259697687E-2</v>
      </c>
      <c r="K21" s="21">
        <f t="shared" si="22"/>
        <v>1.9659601867730938E-2</v>
      </c>
      <c r="L21" s="21">
        <f t="shared" si="22"/>
        <v>1.9644120443654628E-2</v>
      </c>
      <c r="M21" s="21">
        <f t="shared" si="22"/>
        <v>1.9626389508931783E-2</v>
      </c>
      <c r="N21" s="21">
        <f t="shared" si="22"/>
        <v>1.9606498721813692E-2</v>
      </c>
      <c r="O21" s="21">
        <f t="shared" si="22"/>
        <v>1.9584535848105905E-2</v>
      </c>
      <c r="P21" s="21">
        <f t="shared" si="22"/>
        <v>1.9560586737438906E-2</v>
      </c>
      <c r="Q21" s="21">
        <f t="shared" si="22"/>
        <v>1.9534735304740002E-2</v>
      </c>
      <c r="R21" s="21">
        <f t="shared" si="22"/>
        <v>1.9507063516614052E-2</v>
      </c>
      <c r="S21" s="21">
        <f t="shared" si="22"/>
        <v>1.9477651382333993E-2</v>
      </c>
      <c r="T21" s="21">
        <f t="shared" si="22"/>
        <v>1.9446576949157288E-2</v>
      </c>
      <c r="U21" s="21">
        <f t="shared" si="22"/>
        <v>1.9413916301683116E-2</v>
      </c>
      <c r="V21" s="21">
        <f t="shared" si="22"/>
        <v>1.9379743564976286E-2</v>
      </c>
      <c r="W21" s="21">
        <f t="shared" si="22"/>
        <v>1.9344130911188605E-2</v>
      </c>
      <c r="X21" s="21">
        <f t="shared" si="22"/>
        <v>1.9307148569420795E-2</v>
      </c>
      <c r="Y21" s="21">
        <f t="shared" si="22"/>
        <v>1.9268864838571122E-2</v>
      </c>
      <c r="Z21" s="21">
        <f t="shared" si="22"/>
        <v>1.9229346102931189E-2</v>
      </c>
      <c r="AA21" s="21">
        <f t="shared" si="22"/>
        <v>1.9188656850297317E-2</v>
      </c>
      <c r="AB21" s="21">
        <f t="shared" si="22"/>
        <v>1.9146859692372821E-2</v>
      </c>
      <c r="AC21" s="21">
        <f t="shared" si="22"/>
        <v>1.910401538725227E-2</v>
      </c>
      <c r="AD21" s="21">
        <f t="shared" si="22"/>
        <v>1.9060182863780722E-2</v>
      </c>
      <c r="AE21" s="21">
        <f t="shared" si="22"/>
        <v>1.901541924760081E-2</v>
      </c>
      <c r="AF21" s="21">
        <f t="shared" si="22"/>
        <v>1.8969779888699721E-2</v>
      </c>
      <c r="AG21" s="21">
        <f t="shared" si="22"/>
        <v>1.892331839028677E-2</v>
      </c>
      <c r="AH21" s="21">
        <f t="shared" si="22"/>
        <v>1.8876086638836241E-2</v>
      </c>
      <c r="AI21" s="21">
        <f t="shared" si="22"/>
        <v>1.8828134835143027E-2</v>
      </c>
      <c r="AJ21" s="21">
        <f t="shared" si="22"/>
        <v>1.8779511526245872E-2</v>
      </c>
      <c r="AK21" s="21">
        <f t="shared" si="22"/>
        <v>1.8730263638081918E-2</v>
      </c>
      <c r="AL21" s="21">
        <f t="shared" si="22"/>
        <v>1.8680436508746696E-2</v>
      </c>
      <c r="AM21" s="21">
        <f t="shared" si="22"/>
        <v>1.8630073922241516E-2</v>
      </c>
      <c r="AN21" s="21">
        <f t="shared" si="22"/>
        <v>1.8579218142595107E-2</v>
      </c>
      <c r="AO21" s="21">
        <f t="shared" si="22"/>
        <v>1.8527909948262106E-2</v>
      </c>
      <c r="AP21" s="21">
        <f t="shared" si="22"/>
        <v>1.847618866669767E-2</v>
      </c>
      <c r="AQ21" s="21">
        <f t="shared" si="22"/>
        <v>1.8424092209025546E-2</v>
      </c>
      <c r="AR21" s="21">
        <f t="shared" si="22"/>
        <v>1.8371657104714442E-2</v>
      </c>
      <c r="AS21" s="32">
        <f t="shared" si="22"/>
        <v>1.8318918536192663E-2</v>
      </c>
      <c r="AT21" s="21">
        <f t="shared" si="22"/>
        <v>1.8265910373328777E-2</v>
      </c>
      <c r="AU21" s="21">
        <f t="shared" si="22"/>
        <v>1.8212665207719976E-2</v>
      </c>
      <c r="AV21" s="21">
        <f t="shared" si="22"/>
        <v>1.8159214386727747E-2</v>
      </c>
      <c r="AW21" s="21">
        <f t="shared" si="22"/>
        <v>1.8105588047214162E-2</v>
      </c>
      <c r="AX21" s="21">
        <f t="shared" si="22"/>
        <v>1.8051815148927029E-2</v>
      </c>
      <c r="AY21" s="21">
        <f t="shared" si="22"/>
        <v>1.7997923507497657E-2</v>
      </c>
      <c r="AZ21" s="21">
        <f t="shared" si="22"/>
        <v>1.794393982701107E-2</v>
      </c>
      <c r="BA21" s="21">
        <f t="shared" si="22"/>
        <v>1.7889889732115506E-2</v>
      </c>
      <c r="BB21" s="21">
        <f t="shared" si="22"/>
        <v>1.7835797799644022E-2</v>
      </c>
      <c r="BC21" s="21">
        <f t="shared" si="22"/>
        <v>1.778168758972077E-2</v>
      </c>
      <c r="BD21" s="21">
        <f t="shared" si="22"/>
        <v>1.7727581676330987E-2</v>
      </c>
      <c r="BE21" s="21">
        <f t="shared" si="22"/>
        <v>1.767350167733547E-2</v>
      </c>
      <c r="BF21" s="21">
        <f t="shared" si="22"/>
        <v>1.7619468283912816E-2</v>
      </c>
      <c r="BG21" s="21">
        <f t="shared" si="22"/>
        <v>1.7565501289417085E-2</v>
      </c>
      <c r="BH21" s="21">
        <f t="shared" si="22"/>
        <v>1.7511619617639609E-2</v>
      </c>
      <c r="BI21" s="21">
        <f t="shared" si="22"/>
        <v>1.7457841350465783E-2</v>
      </c>
      <c r="BJ21" s="21">
        <f t="shared" si="22"/>
        <v>1.7404183754921452E-2</v>
      </c>
      <c r="BK21" s="21">
        <f t="shared" si="22"/>
        <v>1.7350663309604206E-2</v>
      </c>
      <c r="BL21" s="21">
        <f t="shared" si="22"/>
        <v>1.7297295730496119E-2</v>
      </c>
      <c r="BM21" s="21">
        <f t="shared" si="22"/>
        <v>1.7244095996158101E-2</v>
      </c>
      <c r="BN21" s="21">
        <f t="shared" si="22"/>
        <v>1.7191078372305785E-2</v>
      </c>
      <c r="BO21" s="21">
        <f t="shared" si="22"/>
        <v>1.7138256435768037E-2</v>
      </c>
      <c r="BP21" s="21">
        <f t="shared" si="22"/>
        <v>1.7085643097833048E-2</v>
      </c>
      <c r="BQ21" s="21">
        <f t="shared" si="22"/>
        <v>1.7033250626984704E-2</v>
      </c>
      <c r="BR21" s="21">
        <f t="shared" si="22"/>
        <v>1.6981090671034732E-2</v>
      </c>
      <c r="BS21" s="21">
        <f t="shared" ref="BS21:CL21" si="23">RATE(84,1,BS49,0)</f>
        <v>1.6929174278657227E-2</v>
      </c>
      <c r="BT21" s="21">
        <f t="shared" si="23"/>
        <v>1.6877511920331285E-2</v>
      </c>
      <c r="BU21" s="21">
        <f t="shared" si="23"/>
        <v>1.6826113508702421E-2</v>
      </c>
      <c r="BV21" s="21">
        <f t="shared" si="23"/>
        <v>1.6774988418365482E-2</v>
      </c>
      <c r="BW21" s="21">
        <f t="shared" si="23"/>
        <v>1.6724145505084734E-2</v>
      </c>
      <c r="BX21" s="21">
        <f t="shared" si="23"/>
        <v>1.6673593124454732E-2</v>
      </c>
      <c r="BY21" s="21">
        <f t="shared" si="23"/>
        <v>1.6623339150014696E-2</v>
      </c>
      <c r="BZ21" s="21">
        <f t="shared" si="23"/>
        <v>1.6573390990825453E-2</v>
      </c>
      <c r="CA21" s="21">
        <f t="shared" si="23"/>
        <v>1.6523755608519951E-2</v>
      </c>
      <c r="CB21" s="21">
        <f t="shared" si="23"/>
        <v>1.6474439533836621E-2</v>
      </c>
      <c r="CC21" s="21">
        <f t="shared" si="23"/>
        <v>1.6425448882648401E-2</v>
      </c>
      <c r="CD21" s="21">
        <f t="shared" si="23"/>
        <v>1.6376789371496378E-2</v>
      </c>
      <c r="CE21" s="21">
        <f t="shared" si="23"/>
        <v>1.6328466332639874E-2</v>
      </c>
      <c r="CF21" s="21">
        <f t="shared" si="23"/>
        <v>1.6280484728635816E-2</v>
      </c>
      <c r="CG21" s="21">
        <f t="shared" si="23"/>
        <v>1.6232849166454202E-2</v>
      </c>
      <c r="CH21" s="21">
        <f t="shared" si="23"/>
        <v>1.6185563893551629E-2</v>
      </c>
      <c r="CI21" s="21">
        <f t="shared" si="23"/>
        <v>1.6138632880587034E-2</v>
      </c>
      <c r="CJ21" s="21">
        <f t="shared" si="23"/>
        <v>1.6092059731288015E-2</v>
      </c>
      <c r="CK21" s="21">
        <f t="shared" si="23"/>
        <v>1.6045847762615383E-2</v>
      </c>
      <c r="CL21" s="21">
        <f t="shared" si="23"/>
        <v>1.6000000000000066E-2</v>
      </c>
    </row>
    <row r="22" spans="6:90" ht="18" customHeight="1" x14ac:dyDescent="0.25">
      <c r="F22" s="29">
        <v>1.6500000000000001E-2</v>
      </c>
      <c r="G22" s="21">
        <f t="shared" ref="G22:BR22" si="24">RATE(84,1,G50,0)</f>
        <v>1.969755781426355E-2</v>
      </c>
      <c r="H22" s="21">
        <f t="shared" si="24"/>
        <v>1.9692761098561717E-2</v>
      </c>
      <c r="I22" s="21">
        <f t="shared" si="24"/>
        <v>1.9685695927570152E-2</v>
      </c>
      <c r="J22" s="21">
        <f t="shared" si="24"/>
        <v>1.9676446756298423E-2</v>
      </c>
      <c r="K22" s="21">
        <f t="shared" si="24"/>
        <v>1.9665096388304614E-2</v>
      </c>
      <c r="L22" s="21">
        <f t="shared" si="24"/>
        <v>1.9651725948607458E-2</v>
      </c>
      <c r="M22" s="21">
        <f t="shared" si="24"/>
        <v>1.9636414861352983E-2</v>
      </c>
      <c r="N22" s="21">
        <f t="shared" si="24"/>
        <v>1.9619240831985376E-2</v>
      </c>
      <c r="O22" s="21">
        <f t="shared" si="24"/>
        <v>1.9600279833675672E-2</v>
      </c>
      <c r="P22" s="21">
        <f t="shared" si="24"/>
        <v>1.957960609776303E-2</v>
      </c>
      <c r="Q22" s="21">
        <f t="shared" si="24"/>
        <v>1.9557292107968669E-2</v>
      </c>
      <c r="R22" s="21">
        <f t="shared" si="24"/>
        <v>1.953340859814429E-2</v>
      </c>
      <c r="S22" s="21">
        <f t="shared" si="24"/>
        <v>1.9508024553326137E-2</v>
      </c>
      <c r="T22" s="21">
        <f t="shared" si="24"/>
        <v>1.9481207213870276E-2</v>
      </c>
      <c r="U22" s="21">
        <f t="shared" si="24"/>
        <v>1.9453022082448049E-2</v>
      </c>
      <c r="V22" s="21">
        <f t="shared" si="24"/>
        <v>1.9423532933694004E-2</v>
      </c>
      <c r="W22" s="21">
        <f t="shared" si="24"/>
        <v>1.9392801826298524E-2</v>
      </c>
      <c r="X22" s="21">
        <f t="shared" si="24"/>
        <v>1.93608891173522E-2</v>
      </c>
      <c r="Y22" s="21">
        <f t="shared" si="24"/>
        <v>1.9327853478750313E-2</v>
      </c>
      <c r="Z22" s="21">
        <f t="shared" si="24"/>
        <v>1.9293751915479128E-2</v>
      </c>
      <c r="AA22" s="21">
        <f t="shared" si="24"/>
        <v>1.9258639785608732E-2</v>
      </c>
      <c r="AB22" s="21">
        <f t="shared" si="24"/>
        <v>1.9222570821829498E-2</v>
      </c>
      <c r="AC22" s="21">
        <f t="shared" si="24"/>
        <v>1.9185597154375244E-2</v>
      </c>
      <c r="AD22" s="21">
        <f t="shared" si="24"/>
        <v>1.9147769335182346E-2</v>
      </c>
      <c r="AE22" s="21">
        <f t="shared" si="24"/>
        <v>1.9109136363147101E-2</v>
      </c>
      <c r="AF22" s="21">
        <f t="shared" si="24"/>
        <v>1.9069745710345563E-2</v>
      </c>
      <c r="AG22" s="21">
        <f t="shared" si="24"/>
        <v>1.9029643349090318E-2</v>
      </c>
      <c r="AH22" s="21">
        <f t="shared" si="24"/>
        <v>1.8988873779708218E-2</v>
      </c>
      <c r="AI22" s="21">
        <f t="shared" si="24"/>
        <v>1.8947480058926089E-2</v>
      </c>
      <c r="AJ22" s="21">
        <f t="shared" si="24"/>
        <v>1.8905503828759704E-2</v>
      </c>
      <c r="AK22" s="21">
        <f t="shared" si="24"/>
        <v>1.8862985345812208E-2</v>
      </c>
      <c r="AL22" s="21">
        <f t="shared" si="24"/>
        <v>1.881996351088706E-2</v>
      </c>
      <c r="AM22" s="21">
        <f t="shared" si="24"/>
        <v>1.8776475898835531E-2</v>
      </c>
      <c r="AN22" s="21">
        <f t="shared" si="24"/>
        <v>1.8732558788556192E-2</v>
      </c>
      <c r="AO22" s="21">
        <f t="shared" si="24"/>
        <v>1.8688247193076633E-2</v>
      </c>
      <c r="AP22" s="21">
        <f t="shared" si="24"/>
        <v>1.8643574889650082E-2</v>
      </c>
      <c r="AQ22" s="21">
        <f t="shared" si="24"/>
        <v>1.8598574449804332E-2</v>
      </c>
      <c r="AR22" s="21">
        <f t="shared" si="24"/>
        <v>1.8553277269287318E-2</v>
      </c>
      <c r="AS22" s="32">
        <f t="shared" si="24"/>
        <v>1.8507713597856159E-2</v>
      </c>
      <c r="AT22" s="21">
        <f t="shared" si="24"/>
        <v>1.8461912568864463E-2</v>
      </c>
      <c r="AU22" s="21">
        <f t="shared" si="24"/>
        <v>1.8415902228602319E-2</v>
      </c>
      <c r="AV22" s="21">
        <f t="shared" si="24"/>
        <v>1.8369709565352454E-2</v>
      </c>
      <c r="AW22" s="21">
        <f t="shared" si="24"/>
        <v>1.8323360538124969E-2</v>
      </c>
      <c r="AX22" s="21">
        <f t="shared" si="24"/>
        <v>1.8276880105041738E-2</v>
      </c>
      <c r="AY22" s="21">
        <f t="shared" si="24"/>
        <v>1.8230292251339708E-2</v>
      </c>
      <c r="AZ22" s="21">
        <f t="shared" si="24"/>
        <v>1.8183620016970044E-2</v>
      </c>
      <c r="BA22" s="21">
        <f t="shared" si="24"/>
        <v>1.8136885523770414E-2</v>
      </c>
      <c r="BB22" s="21">
        <f t="shared" si="24"/>
        <v>1.809011000218998E-2</v>
      </c>
      <c r="BC22" s="21">
        <f t="shared" si="24"/>
        <v>1.8043313817553995E-2</v>
      </c>
      <c r="BD22" s="21">
        <f t="shared" si="24"/>
        <v>1.7996516495848769E-2</v>
      </c>
      <c r="BE22" s="21">
        <f t="shared" si="24"/>
        <v>1.7949736749019108E-2</v>
      </c>
      <c r="BF22" s="21">
        <f t="shared" si="24"/>
        <v>1.7902992499767144E-2</v>
      </c>
      <c r="BG22" s="21">
        <f t="shared" si="24"/>
        <v>1.7856300905842639E-2</v>
      </c>
      <c r="BH22" s="21">
        <f t="shared" si="24"/>
        <v>1.7809678383822327E-2</v>
      </c>
      <c r="BI22" s="21">
        <f t="shared" si="24"/>
        <v>1.7763140632370111E-2</v>
      </c>
      <c r="BJ22" s="21">
        <f t="shared" si="24"/>
        <v>1.7716702654976962E-2</v>
      </c>
      <c r="BK22" s="21">
        <f t="shared" si="24"/>
        <v>1.767037878217911E-2</v>
      </c>
      <c r="BL22" s="21">
        <f t="shared" si="24"/>
        <v>1.7624182693252863E-2</v>
      </c>
      <c r="BM22" s="21">
        <f t="shared" si="24"/>
        <v>1.7578127437387965E-2</v>
      </c>
      <c r="BN22" s="21">
        <f t="shared" si="24"/>
        <v>1.7532225454340331E-2</v>
      </c>
      <c r="BO22" s="21">
        <f t="shared" si="24"/>
        <v>1.7486488594568687E-2</v>
      </c>
      <c r="BP22" s="21">
        <f t="shared" si="24"/>
        <v>1.744092813885615E-2</v>
      </c>
      <c r="BQ22" s="21">
        <f t="shared" si="24"/>
        <v>1.739555481742457E-2</v>
      </c>
      <c r="BR22" s="21">
        <f t="shared" si="24"/>
        <v>1.7350378828542498E-2</v>
      </c>
      <c r="BS22" s="21">
        <f t="shared" ref="BS22:CL22" si="25">RATE(84,1,BS50,0)</f>
        <v>1.7305409856637692E-2</v>
      </c>
      <c r="BT22" s="21">
        <f t="shared" si="25"/>
        <v>1.7260657089915782E-2</v>
      </c>
      <c r="BU22" s="21">
        <f t="shared" si="25"/>
        <v>1.721612923749519E-2</v>
      </c>
      <c r="BV22" s="21">
        <f t="shared" si="25"/>
        <v>1.7171834546063618E-2</v>
      </c>
      <c r="BW22" s="21">
        <f t="shared" si="25"/>
        <v>1.7127780816065169E-2</v>
      </c>
      <c r="BX22" s="21">
        <f t="shared" si="25"/>
        <v>1.7083975417425085E-2</v>
      </c>
      <c r="BY22" s="21">
        <f t="shared" si="25"/>
        <v>1.7040425304820656E-2</v>
      </c>
      <c r="BZ22" s="21">
        <f t="shared" si="25"/>
        <v>1.6997137032508131E-2</v>
      </c>
      <c r="CA22" s="21">
        <f t="shared" si="25"/>
        <v>1.695411676871075E-2</v>
      </c>
      <c r="CB22" s="21">
        <f t="shared" si="25"/>
        <v>1.6911370309581092E-2</v>
      </c>
      <c r="CC22" s="21">
        <f t="shared" si="25"/>
        <v>1.6868903092744574E-2</v>
      </c>
      <c r="CD22" s="21">
        <f t="shared" si="25"/>
        <v>1.6826720210431946E-2</v>
      </c>
      <c r="CE22" s="21">
        <f t="shared" si="25"/>
        <v>1.6784826422212944E-2</v>
      </c>
      <c r="CF22" s="21">
        <f t="shared" si="25"/>
        <v>1.6743226167337942E-2</v>
      </c>
      <c r="CG22" s="21">
        <f t="shared" si="25"/>
        <v>1.6701923576696844E-2</v>
      </c>
      <c r="CH22" s="21">
        <f t="shared" si="25"/>
        <v>1.6660922484405798E-2</v>
      </c>
      <c r="CI22" s="21">
        <f t="shared" si="25"/>
        <v>1.6620226439030779E-2</v>
      </c>
      <c r="CJ22" s="21">
        <f t="shared" si="25"/>
        <v>1.6579838714453985E-2</v>
      </c>
      <c r="CK22" s="21">
        <f t="shared" si="25"/>
        <v>1.6539762320397403E-2</v>
      </c>
      <c r="CL22" s="21">
        <f t="shared" si="25"/>
        <v>1.650000001260761E-2</v>
      </c>
    </row>
    <row r="23" spans="6:90" ht="18" customHeight="1" x14ac:dyDescent="0.25">
      <c r="F23" s="29">
        <v>1.7000000000000001E-2</v>
      </c>
      <c r="G23" s="21">
        <f t="shared" ref="G23:BR23" si="26">RATE(84,1,G51,0)</f>
        <v>1.9697940400010366E-2</v>
      </c>
      <c r="H23" s="21">
        <f t="shared" si="26"/>
        <v>1.9693896009702203E-2</v>
      </c>
      <c r="I23" s="21">
        <f t="shared" si="26"/>
        <v>1.9687940154800479E-2</v>
      </c>
      <c r="J23" s="21">
        <f t="shared" si="26"/>
        <v>1.968014465779638E-2</v>
      </c>
      <c r="K23" s="21">
        <f t="shared" si="26"/>
        <v>1.967057982388971E-2</v>
      </c>
      <c r="L23" s="21">
        <f t="shared" si="26"/>
        <v>1.9659314430126716E-2</v>
      </c>
      <c r="M23" s="21">
        <f t="shared" si="26"/>
        <v>1.9646415717835548E-2</v>
      </c>
      <c r="N23" s="21">
        <f t="shared" si="26"/>
        <v>1.9631949388170814E-2</v>
      </c>
      <c r="O23" s="21">
        <f t="shared" si="26"/>
        <v>1.9615979600571501E-2</v>
      </c>
      <c r="P23" s="21">
        <f t="shared" si="26"/>
        <v>1.9598568973947756E-2</v>
      </c>
      <c r="Q23" s="21">
        <f t="shared" si="26"/>
        <v>1.9579778590415209E-2</v>
      </c>
      <c r="R23" s="21">
        <f t="shared" si="26"/>
        <v>1.9559668001397745E-2</v>
      </c>
      <c r="S23" s="21">
        <f t="shared" si="26"/>
        <v>1.9538295235931594E-2</v>
      </c>
      <c r="T23" s="21">
        <f t="shared" si="26"/>
        <v>1.9515716811001171E-2</v>
      </c>
      <c r="U23" s="21">
        <f t="shared" si="26"/>
        <v>1.9491987743751403E-2</v>
      </c>
      <c r="V23" s="21">
        <f t="shared" si="26"/>
        <v>1.9467161565421106E-2</v>
      </c>
      <c r="W23" s="21">
        <f t="shared" si="26"/>
        <v>1.9441290336850974E-2</v>
      </c>
      <c r="X23" s="21">
        <f t="shared" si="26"/>
        <v>1.941442466542688E-2</v>
      </c>
      <c r="Y23" s="21">
        <f t="shared" si="26"/>
        <v>1.9386613723322871E-2</v>
      </c>
      <c r="Z23" s="21">
        <f t="shared" si="26"/>
        <v>1.9357905266917504E-2</v>
      </c>
      <c r="AA23" s="21">
        <f t="shared" si="26"/>
        <v>1.9328345657260767E-2</v>
      </c>
      <c r="AB23" s="21">
        <f t="shared" si="26"/>
        <v>1.9297979881477766E-2</v>
      </c>
      <c r="AC23" s="21">
        <f t="shared" si="26"/>
        <v>1.9266851574998464E-2</v>
      </c>
      <c r="AD23" s="21">
        <f t="shared" si="26"/>
        <v>1.9235003044511433E-2</v>
      </c>
      <c r="AE23" s="21">
        <f t="shared" si="26"/>
        <v>1.9202475291544556E-2</v>
      </c>
      <c r="AF23" s="21">
        <f t="shared" si="26"/>
        <v>1.9169308036580859E-2</v>
      </c>
      <c r="AG23" s="21">
        <f t="shared" si="26"/>
        <v>1.9135539743622049E-2</v>
      </c>
      <c r="AH23" s="21">
        <f t="shared" si="26"/>
        <v>1.9101207645123072E-2</v>
      </c>
      <c r="AI23" s="21">
        <f t="shared" si="26"/>
        <v>1.9066347767217513E-2</v>
      </c>
      <c r="AJ23" s="21">
        <f t="shared" si="26"/>
        <v>1.9030994955168513E-2</v>
      </c>
      <c r="AK23" s="21">
        <f t="shared" si="26"/>
        <v>1.8995182898975477E-2</v>
      </c>
      <c r="AL23" s="21">
        <f t="shared" si="26"/>
        <v>1.8958944159078287E-2</v>
      </c>
      <c r="AM23" s="21">
        <f t="shared" si="26"/>
        <v>1.89223101921022E-2</v>
      </c>
      <c r="AN23" s="21">
        <f t="shared" si="26"/>
        <v>1.8885311376591812E-2</v>
      </c>
      <c r="AO23" s="21">
        <f t="shared" si="26"/>
        <v>1.8847977038684252E-2</v>
      </c>
      <c r="AP23" s="21">
        <f t="shared" si="26"/>
        <v>1.8810335477680136E-2</v>
      </c>
      <c r="AQ23" s="21">
        <f t="shared" si="26"/>
        <v>1.8772413991469648E-2</v>
      </c>
      <c r="AR23" s="21">
        <f t="shared" si="26"/>
        <v>1.8734238901778038E-2</v>
      </c>
      <c r="AS23" s="32">
        <f t="shared" si="26"/>
        <v>1.8695835579196501E-2</v>
      </c>
      <c r="AT23" s="21">
        <f t="shared" si="26"/>
        <v>1.8657228467967697E-2</v>
      </c>
      <c r="AU23" s="21">
        <f t="shared" si="26"/>
        <v>1.8618441110498919E-2</v>
      </c>
      <c r="AV23" s="21">
        <f t="shared" si="26"/>
        <v>1.8579496171577548E-2</v>
      </c>
      <c r="AW23" s="21">
        <f t="shared" si="26"/>
        <v>1.8540415462266931E-2</v>
      </c>
      <c r="AX23" s="21">
        <f t="shared" si="26"/>
        <v>1.8501219963462687E-2</v>
      </c>
      <c r="AY23" s="21">
        <f t="shared" si="26"/>
        <v>1.846192984909277E-2</v>
      </c>
      <c r="AZ23" s="21">
        <f t="shared" si="26"/>
        <v>1.8422564508945218E-2</v>
      </c>
      <c r="BA23" s="21">
        <f t="shared" si="26"/>
        <v>1.8383142571110331E-2</v>
      </c>
      <c r="BB23" s="21">
        <f t="shared" si="26"/>
        <v>1.8343681924026769E-2</v>
      </c>
      <c r="BC23" s="21">
        <f t="shared" si="26"/>
        <v>1.8304199738121165E-2</v>
      </c>
      <c r="BD23" s="21">
        <f t="shared" si="26"/>
        <v>1.8264712487033787E-2</v>
      </c>
      <c r="BE23" s="21">
        <f t="shared" si="26"/>
        <v>1.8225235968423528E-2</v>
      </c>
      <c r="BF23" s="21">
        <f t="shared" si="26"/>
        <v>1.8185785324346709E-2</v>
      </c>
      <c r="BG23" s="21">
        <f t="shared" si="26"/>
        <v>1.8146375061207188E-2</v>
      </c>
      <c r="BH23" s="21">
        <f t="shared" si="26"/>
        <v>1.8107019069274262E-2</v>
      </c>
      <c r="BI23" s="21">
        <f t="shared" si="26"/>
        <v>1.8067730641766425E-2</v>
      </c>
      <c r="BJ23" s="21">
        <f t="shared" si="26"/>
        <v>1.8028522493502352E-2</v>
      </c>
      <c r="BK23" s="21">
        <f t="shared" si="26"/>
        <v>1.7989406779116906E-2</v>
      </c>
      <c r="BL23" s="21">
        <f t="shared" si="26"/>
        <v>1.7950395110846378E-2</v>
      </c>
      <c r="BM23" s="21">
        <f t="shared" si="26"/>
        <v>1.7911498575882433E-2</v>
      </c>
      <c r="BN23" s="21">
        <f t="shared" si="26"/>
        <v>1.7872727753300174E-2</v>
      </c>
      <c r="BO23" s="21">
        <f t="shared" si="26"/>
        <v>1.7834092730560105E-2</v>
      </c>
      <c r="BP23" s="21">
        <f t="shared" si="26"/>
        <v>1.779560311959227E-2</v>
      </c>
      <c r="BQ23" s="21">
        <f t="shared" si="26"/>
        <v>1.7757268072463313E-2</v>
      </c>
      <c r="BR23" s="21">
        <f t="shared" si="26"/>
        <v>1.7719096296634526E-2</v>
      </c>
      <c r="BS23" s="21">
        <f t="shared" ref="BS23:CL23" si="27">RATE(84,1,BS51,0)</f>
        <v>1.7681096069813274E-2</v>
      </c>
      <c r="BT23" s="21">
        <f t="shared" si="27"/>
        <v>1.7643275254405184E-2</v>
      </c>
      <c r="BU23" s="21">
        <f t="shared" si="27"/>
        <v>1.7605641311573998E-2</v>
      </c>
      <c r="BV23" s="21">
        <f t="shared" si="27"/>
        <v>1.756820131491367E-2</v>
      </c>
      <c r="BW23" s="21">
        <f t="shared" si="27"/>
        <v>1.7530961963739031E-2</v>
      </c>
      <c r="BX23" s="21">
        <f t="shared" si="27"/>
        <v>1.7493929596003481E-2</v>
      </c>
      <c r="BY23" s="21">
        <f t="shared" si="27"/>
        <v>1.7457110200850029E-2</v>
      </c>
      <c r="BZ23" s="21">
        <f t="shared" si="27"/>
        <v>1.7420509430802079E-2</v>
      </c>
      <c r="CA23" s="21">
        <f t="shared" si="27"/>
        <v>1.7384132613600906E-2</v>
      </c>
      <c r="CB23" s="21">
        <f t="shared" si="27"/>
        <v>1.7347984763698837E-2</v>
      </c>
      <c r="CC23" s="21">
        <f t="shared" si="27"/>
        <v>1.7312070593413741E-2</v>
      </c>
      <c r="CD23" s="21">
        <f t="shared" si="27"/>
        <v>1.7276394523752348E-2</v>
      </c>
      <c r="CE23" s="21">
        <f t="shared" si="27"/>
        <v>1.7240960694910903E-2</v>
      </c>
      <c r="CF23" s="21">
        <f t="shared" si="27"/>
        <v>1.7205772976460049E-2</v>
      </c>
      <c r="CG23" s="21">
        <f t="shared" si="27"/>
        <v>1.7170834977220054E-2</v>
      </c>
      <c r="CH23" s="21">
        <f t="shared" si="27"/>
        <v>1.7136150054834962E-2</v>
      </c>
      <c r="CI23" s="21">
        <f t="shared" si="27"/>
        <v>1.7101721325054931E-2</v>
      </c>
      <c r="CJ23" s="21">
        <f t="shared" si="27"/>
        <v>1.7067551670728043E-2</v>
      </c>
      <c r="CK23" s="21">
        <f t="shared" si="27"/>
        <v>1.7033643750516782E-2</v>
      </c>
      <c r="CL23" s="21">
        <f t="shared" si="27"/>
        <v>1.7000000007338562E-2</v>
      </c>
    </row>
    <row r="24" spans="6:90" ht="18" customHeight="1" x14ac:dyDescent="0.25">
      <c r="F24" s="29">
        <v>1.7500000000000002E-2</v>
      </c>
      <c r="G24" s="21">
        <f t="shared" ref="G24:BR24" si="28">RATE(84,1,G52,0)</f>
        <v>1.9698322616761871E-2</v>
      </c>
      <c r="H24" s="21">
        <f t="shared" si="28"/>
        <v>1.969502949765398E-2</v>
      </c>
      <c r="I24" s="21">
        <f t="shared" si="28"/>
        <v>1.9690180958576838E-2</v>
      </c>
      <c r="J24" s="21">
        <f t="shared" si="28"/>
        <v>1.9683835979198764E-2</v>
      </c>
      <c r="K24" s="21">
        <f t="shared" si="28"/>
        <v>1.9676052202087856E-2</v>
      </c>
      <c r="L24" s="21">
        <f t="shared" si="28"/>
        <v>1.9666885933751096E-2</v>
      </c>
      <c r="M24" s="21">
        <f t="shared" si="28"/>
        <v>1.9656392147745911E-2</v>
      </c>
      <c r="N24" s="21">
        <f t="shared" si="28"/>
        <v>1.9644624489723702E-2</v>
      </c>
      <c r="O24" s="21">
        <f t="shared" si="28"/>
        <v>1.9631635284269516E-2</v>
      </c>
      <c r="P24" s="21">
        <f t="shared" si="28"/>
        <v>1.9617475543408109E-2</v>
      </c>
      <c r="Q24" s="21">
        <f t="shared" si="28"/>
        <v>1.9602194976650229E-2</v>
      </c>
      <c r="R24" s="21">
        <f t="shared" si="28"/>
        <v>1.9585842002456541E-2</v>
      </c>
      <c r="S24" s="21">
        <f t="shared" si="28"/>
        <v>1.9568463761003924E-2</v>
      </c>
      <c r="T24" s="21">
        <f t="shared" si="28"/>
        <v>1.9550106128141728E-2</v>
      </c>
      <c r="U24" s="21">
        <f t="shared" si="28"/>
        <v>1.9530813730431123E-2</v>
      </c>
      <c r="V24" s="21">
        <f t="shared" si="28"/>
        <v>1.9510629961165499E-2</v>
      </c>
      <c r="W24" s="21">
        <f t="shared" si="28"/>
        <v>1.9489596997275555E-2</v>
      </c>
      <c r="X24" s="21">
        <f t="shared" si="28"/>
        <v>1.9467755817025114E-2</v>
      </c>
      <c r="Y24" s="21">
        <f t="shared" si="28"/>
        <v>1.9445146218411896E-2</v>
      </c>
      <c r="Z24" s="21">
        <f t="shared" si="28"/>
        <v>1.9421806838188518E-2</v>
      </c>
      <c r="AA24" s="21">
        <f t="shared" si="28"/>
        <v>1.9397775171426126E-2</v>
      </c>
      <c r="AB24" s="21">
        <f t="shared" si="28"/>
        <v>1.9373087591547128E-2</v>
      </c>
      <c r="AC24" s="21">
        <f t="shared" si="28"/>
        <v>1.9347779370756723E-2</v>
      </c>
      <c r="AD24" s="21">
        <f t="shared" si="28"/>
        <v>1.932188470080563E-2</v>
      </c>
      <c r="AE24" s="21">
        <f t="shared" si="28"/>
        <v>1.929543671402795E-2</v>
      </c>
      <c r="AF24" s="21">
        <f t="shared" si="28"/>
        <v>1.9268467504591175E-2</v>
      </c>
      <c r="AG24" s="21">
        <f t="shared" si="28"/>
        <v>1.9241008149906178E-2</v>
      </c>
      <c r="AH24" s="21">
        <f t="shared" si="28"/>
        <v>1.9213088732149781E-2</v>
      </c>
      <c r="AI24" s="21">
        <f t="shared" si="28"/>
        <v>1.9184738359848755E-2</v>
      </c>
      <c r="AJ24" s="21">
        <f t="shared" si="28"/>
        <v>1.9155985189486767E-2</v>
      </c>
      <c r="AK24" s="21">
        <f t="shared" si="28"/>
        <v>1.9126856447089124E-2</v>
      </c>
      <c r="AL24" s="21">
        <f t="shared" si="28"/>
        <v>1.9097378449753271E-2</v>
      </c>
      <c r="AM24" s="21">
        <f t="shared" si="28"/>
        <v>1.906757662708769E-2</v>
      </c>
      <c r="AN24" s="21">
        <f t="shared" si="28"/>
        <v>1.9037475542528756E-2</v>
      </c>
      <c r="AO24" s="21">
        <f t="shared" si="28"/>
        <v>1.9007098914507733E-2</v>
      </c>
      <c r="AP24" s="21">
        <f t="shared" si="28"/>
        <v>1.8976469637440079E-2</v>
      </c>
      <c r="AQ24" s="21">
        <f t="shared" si="28"/>
        <v>1.8945609802515355E-2</v>
      </c>
      <c r="AR24" s="21">
        <f t="shared" si="28"/>
        <v>1.8914540718264088E-2</v>
      </c>
      <c r="AS24" s="32">
        <f t="shared" si="28"/>
        <v>1.888328293088375E-2</v>
      </c>
      <c r="AT24" s="21">
        <f t="shared" si="28"/>
        <v>1.8851856244306023E-2</v>
      </c>
      <c r="AU24" s="21">
        <f t="shared" si="28"/>
        <v>1.8820279739988188E-2</v>
      </c>
      <c r="AV24" s="21">
        <f t="shared" si="28"/>
        <v>1.878857179641771E-2</v>
      </c>
      <c r="AW24" s="21">
        <f t="shared" si="28"/>
        <v>1.8756750108315755E-2</v>
      </c>
      <c r="AX24" s="21">
        <f t="shared" si="28"/>
        <v>1.8724831705529261E-2</v>
      </c>
      <c r="AY24" s="21">
        <f t="shared" si="28"/>
        <v>1.8692832971603401E-2</v>
      </c>
      <c r="AZ24" s="21">
        <f t="shared" si="28"/>
        <v>1.866076966202497E-2</v>
      </c>
      <c r="BA24" s="21">
        <f t="shared" si="28"/>
        <v>1.8628656922132381E-2</v>
      </c>
      <c r="BB24" s="21">
        <f t="shared" si="28"/>
        <v>1.8596509304684285E-2</v>
      </c>
      <c r="BC24" s="21">
        <f t="shared" si="28"/>
        <v>1.8564340787085347E-2</v>
      </c>
      <c r="BD24" s="21">
        <f t="shared" si="28"/>
        <v>1.853216478826248E-2</v>
      </c>
      <c r="BE24" s="21">
        <f t="shared" si="28"/>
        <v>1.8499994185193571E-2</v>
      </c>
      <c r="BF24" s="21">
        <f t="shared" si="28"/>
        <v>1.8467841329081639E-2</v>
      </c>
      <c r="BG24" s="21">
        <f t="shared" si="28"/>
        <v>1.8435718061180446E-2</v>
      </c>
      <c r="BH24" s="21">
        <f t="shared" si="28"/>
        <v>1.8403635728264121E-2</v>
      </c>
      <c r="BI24" s="21">
        <f t="shared" si="28"/>
        <v>1.837160519774908E-2</v>
      </c>
      <c r="BJ24" s="21">
        <f t="shared" si="28"/>
        <v>1.8339636872462588E-2</v>
      </c>
      <c r="BK24" s="21">
        <f t="shared" si="28"/>
        <v>1.830774070506519E-2</v>
      </c>
      <c r="BL24" s="21">
        <f t="shared" si="28"/>
        <v>1.8275926212126651E-2</v>
      </c>
      <c r="BM24" s="21">
        <f t="shared" si="28"/>
        <v>1.8244202487858283E-2</v>
      </c>
      <c r="BN24" s="21">
        <f t="shared" si="28"/>
        <v>1.8212578217506291E-2</v>
      </c>
      <c r="BO24" s="21">
        <f t="shared" si="28"/>
        <v>1.8181061690409183E-2</v>
      </c>
      <c r="BP24" s="21">
        <f t="shared" si="28"/>
        <v>1.8149660812721829E-2</v>
      </c>
      <c r="BQ24" s="21">
        <f t="shared" si="28"/>
        <v>1.8118383119812918E-2</v>
      </c>
      <c r="BR24" s="21">
        <f t="shared" si="28"/>
        <v>1.8087235788338065E-2</v>
      </c>
      <c r="BS24" s="21">
        <f t="shared" ref="BS24:CL24" si="29">RATE(84,1,BS52,0)</f>
        <v>1.8056225647995538E-2</v>
      </c>
      <c r="BT24" s="21">
        <f t="shared" si="29"/>
        <v>1.8025359192967105E-2</v>
      </c>
      <c r="BU24" s="21">
        <f t="shared" si="29"/>
        <v>1.7994642593051106E-2</v>
      </c>
      <c r="BV24" s="21">
        <f t="shared" si="29"/>
        <v>1.7964081704492867E-2</v>
      </c>
      <c r="BW24" s="21">
        <f t="shared" si="29"/>
        <v>1.7933682080516128E-2</v>
      </c>
      <c r="BX24" s="21">
        <f t="shared" si="29"/>
        <v>1.7903448981563739E-2</v>
      </c>
      <c r="BY24" s="21">
        <f t="shared" si="29"/>
        <v>1.7873387385250575E-2</v>
      </c>
      <c r="BZ24" s="21">
        <f t="shared" si="29"/>
        <v>1.7843501996037077E-2</v>
      </c>
      <c r="CA24" s="21">
        <f t="shared" si="29"/>
        <v>1.7813797254625462E-2</v>
      </c>
      <c r="CB24" s="21">
        <f t="shared" si="29"/>
        <v>1.7784277347089393E-2</v>
      </c>
      <c r="CC24" s="21">
        <f t="shared" si="29"/>
        <v>1.7754946213738083E-2</v>
      </c>
      <c r="CD24" s="21">
        <f t="shared" si="29"/>
        <v>1.7725807557722906E-2</v>
      </c>
      <c r="CE24" s="21">
        <f t="shared" si="29"/>
        <v>1.7696864853393023E-2</v>
      </c>
      <c r="CF24" s="21">
        <f t="shared" si="29"/>
        <v>1.7668121354404244E-2</v>
      </c>
      <c r="CG24" s="21">
        <f t="shared" si="29"/>
        <v>1.763958010158706E-2</v>
      </c>
      <c r="CH24" s="21">
        <f t="shared" si="29"/>
        <v>1.7611243930580896E-2</v>
      </c>
      <c r="CI24" s="21">
        <f t="shared" si="29"/>
        <v>1.7583115479238243E-2</v>
      </c>
      <c r="CJ24" s="21">
        <f t="shared" si="29"/>
        <v>1.7555197194807103E-2</v>
      </c>
      <c r="CK24" s="21">
        <f t="shared" si="29"/>
        <v>1.7527491340893198E-2</v>
      </c>
      <c r="CL24" s="21">
        <f t="shared" si="29"/>
        <v>1.7500000004211563E-2</v>
      </c>
    </row>
    <row r="25" spans="6:90" ht="18" customHeight="1" x14ac:dyDescent="0.25">
      <c r="F25" s="29">
        <v>1.7999999999999999E-2</v>
      </c>
      <c r="G25" s="21">
        <f t="shared" ref="G25:BR25" si="30">RATE(84,1,G53,0)</f>
        <v>1.9698704465051637E-2</v>
      </c>
      <c r="H25" s="21">
        <f t="shared" si="30"/>
        <v>1.9696161564913581E-2</v>
      </c>
      <c r="I25" s="21">
        <f t="shared" si="30"/>
        <v>1.9692418345848183E-2</v>
      </c>
      <c r="J25" s="21">
        <f t="shared" si="30"/>
        <v>1.9687520735473134E-2</v>
      </c>
      <c r="K25" s="21">
        <f t="shared" si="30"/>
        <v>1.9681513550422663E-2</v>
      </c>
      <c r="L25" s="21">
        <f t="shared" si="30"/>
        <v>1.9674440504888209E-2</v>
      </c>
      <c r="M25" s="21">
        <f t="shared" si="30"/>
        <v>1.9666344220250244E-2</v>
      </c>
      <c r="N25" s="21">
        <f t="shared" si="30"/>
        <v>1.9657266235715506E-2</v>
      </c>
      <c r="O25" s="21">
        <f t="shared" si="30"/>
        <v>1.9647247019875823E-2</v>
      </c>
      <c r="P25" s="21">
        <f t="shared" si="30"/>
        <v>1.9636325983106346E-2</v>
      </c>
      <c r="Q25" s="21">
        <f t="shared" si="30"/>
        <v>1.9624541490727246E-2</v>
      </c>
      <c r="R25" s="21">
        <f t="shared" si="30"/>
        <v>1.9611930876855196E-2</v>
      </c>
      <c r="S25" s="21">
        <f t="shared" si="30"/>
        <v>1.9598530458874365E-2</v>
      </c>
      <c r="T25" s="21">
        <f t="shared" si="30"/>
        <v>1.9584375552461557E-2</v>
      </c>
      <c r="U25" s="21">
        <f t="shared" si="30"/>
        <v>1.9569500487101148E-2</v>
      </c>
      <c r="V25" s="21">
        <f t="shared" si="30"/>
        <v>1.9553938622030281E-2</v>
      </c>
      <c r="W25" s="21">
        <f t="shared" si="30"/>
        <v>1.9537722362559587E-2</v>
      </c>
      <c r="X25" s="21">
        <f t="shared" si="30"/>
        <v>1.9520883176712512E-2</v>
      </c>
      <c r="Y25" s="21">
        <f t="shared" si="30"/>
        <v>1.950345161213804E-2</v>
      </c>
      <c r="Z25" s="21">
        <f t="shared" si="30"/>
        <v>1.9485457313244938E-2</v>
      </c>
      <c r="AA25" s="21">
        <f t="shared" si="30"/>
        <v>1.9466929038516368E-2</v>
      </c>
      <c r="AB25" s="21">
        <f t="shared" si="30"/>
        <v>1.9447894677960757E-2</v>
      </c>
      <c r="AC25" s="21">
        <f t="shared" si="30"/>
        <v>1.9428381270663993E-2</v>
      </c>
      <c r="AD25" s="21">
        <f t="shared" si="30"/>
        <v>1.9408415022401732E-2</v>
      </c>
      <c r="AE25" s="21">
        <f t="shared" si="30"/>
        <v>1.9388021323283055E-2</v>
      </c>
      <c r="AF25" s="21">
        <f t="shared" si="30"/>
        <v>1.9367224765389105E-2</v>
      </c>
      <c r="AG25" s="21">
        <f t="shared" si="30"/>
        <v>1.9346049160383679E-2</v>
      </c>
      <c r="AH25" s="21">
        <f t="shared" si="30"/>
        <v>1.9324517557062649E-2</v>
      </c>
      <c r="AI25" s="21">
        <f t="shared" si="30"/>
        <v>1.9302652258821832E-2</v>
      </c>
      <c r="AJ25" s="21">
        <f t="shared" si="30"/>
        <v>1.9280474841018781E-2</v>
      </c>
      <c r="AK25" s="21">
        <f t="shared" si="30"/>
        <v>1.9258006168207779E-2</v>
      </c>
      <c r="AL25" s="21">
        <f t="shared" si="30"/>
        <v>1.9235266411228837E-2</v>
      </c>
      <c r="AM25" s="21">
        <f t="shared" si="30"/>
        <v>1.9212275064133515E-2</v>
      </c>
      <c r="AN25" s="21">
        <f t="shared" si="30"/>
        <v>1.918905096093218E-2</v>
      </c>
      <c r="AO25" s="21">
        <f t="shared" si="30"/>
        <v>1.9165612292146091E-2</v>
      </c>
      <c r="AP25" s="21">
        <f t="shared" si="30"/>
        <v>1.9141976621155379E-2</v>
      </c>
      <c r="AQ25" s="21">
        <f t="shared" si="30"/>
        <v>1.9118160900327551E-2</v>
      </c>
      <c r="AR25" s="21">
        <f t="shared" si="30"/>
        <v>1.9094181486918316E-2</v>
      </c>
      <c r="AS25" s="32">
        <f t="shared" si="30"/>
        <v>1.9070054158736062E-2</v>
      </c>
      <c r="AT25" s="21">
        <f t="shared" si="30"/>
        <v>1.9045794129559857E-2</v>
      </c>
      <c r="AU25" s="21">
        <f t="shared" si="30"/>
        <v>1.9021416064306292E-2</v>
      </c>
      <c r="AV25" s="21">
        <f t="shared" si="30"/>
        <v>1.8996934093938246E-2</v>
      </c>
      <c r="AW25" s="21">
        <f t="shared" si="30"/>
        <v>1.8972361830110702E-2</v>
      </c>
      <c r="AX25" s="21">
        <f t="shared" si="30"/>
        <v>1.8947712379549883E-2</v>
      </c>
      <c r="AY25" s="21">
        <f t="shared" si="30"/>
        <v>1.8922998358161403E-2</v>
      </c>
      <c r="AZ25" s="21">
        <f t="shared" si="30"/>
        <v>1.8898231904865209E-2</v>
      </c>
      <c r="BA25" s="21">
        <f t="shared" si="30"/>
        <v>1.8873424695157931E-2</v>
      </c>
      <c r="BB25" s="21">
        <f t="shared" si="30"/>
        <v>1.8848587954395361E-2</v>
      </c>
      <c r="BC25" s="21">
        <f t="shared" si="30"/>
        <v>1.8823732470801949E-2</v>
      </c>
      <c r="BD25" s="21">
        <f t="shared" si="30"/>
        <v>1.879886860820032E-2</v>
      </c>
      <c r="BE25" s="21">
        <f t="shared" si="30"/>
        <v>1.8774006318466367E-2</v>
      </c>
      <c r="BF25" s="21">
        <f t="shared" si="30"/>
        <v>1.8749155153707505E-2</v>
      </c>
      <c r="BG25" s="21">
        <f t="shared" si="30"/>
        <v>1.8724324278166775E-2</v>
      </c>
      <c r="BH25" s="21">
        <f t="shared" si="30"/>
        <v>1.8699522479854E-2</v>
      </c>
      <c r="BI25" s="21">
        <f t="shared" si="30"/>
        <v>1.8674758181906431E-2</v>
      </c>
      <c r="BJ25" s="21">
        <f t="shared" si="30"/>
        <v>1.865003945368043E-2</v>
      </c>
      <c r="BK25" s="21">
        <f t="shared" si="30"/>
        <v>1.8625374021577761E-2</v>
      </c>
      <c r="BL25" s="21">
        <f t="shared" si="30"/>
        <v>1.8600769279608239E-2</v>
      </c>
      <c r="BM25" s="21">
        <f t="shared" si="30"/>
        <v>1.857623229969254E-2</v>
      </c>
      <c r="BN25" s="21">
        <f t="shared" si="30"/>
        <v>1.8551769841709059E-2</v>
      </c>
      <c r="BO25" s="21">
        <f t="shared" si="30"/>
        <v>1.8527388363286552E-2</v>
      </c>
      <c r="BP25" s="21">
        <f t="shared" si="30"/>
        <v>1.8503094029347474E-2</v>
      </c>
      <c r="BQ25" s="21">
        <f t="shared" si="30"/>
        <v>1.8478892721406827E-2</v>
      </c>
      <c r="BR25" s="21">
        <f t="shared" si="30"/>
        <v>1.8454790046627159E-2</v>
      </c>
      <c r="BS25" s="21">
        <f t="shared" ref="BS25:CL25" si="31">RATE(84,1,BS53,0)</f>
        <v>1.8430791346637217E-2</v>
      </c>
      <c r="BT25" s="21">
        <f t="shared" si="31"/>
        <v>1.840690170611696E-2</v>
      </c>
      <c r="BU25" s="21">
        <f t="shared" si="31"/>
        <v>1.8383125961152078E-2</v>
      </c>
      <c r="BV25" s="21">
        <f t="shared" si="31"/>
        <v>1.8359468707364435E-2</v>
      </c>
      <c r="BW25" s="21">
        <f t="shared" si="31"/>
        <v>1.8335934307820639E-2</v>
      </c>
      <c r="BX25" s="21">
        <f t="shared" si="31"/>
        <v>1.8312526900724983E-2</v>
      </c>
      <c r="BY25" s="21">
        <f t="shared" si="31"/>
        <v>1.828925040689992E-2</v>
      </c>
      <c r="BZ25" s="21">
        <f t="shared" si="31"/>
        <v>1.8266108537057488E-2</v>
      </c>
      <c r="CA25" s="21">
        <f t="shared" si="31"/>
        <v>1.8243104798869446E-2</v>
      </c>
      <c r="CB25" s="21">
        <f t="shared" si="31"/>
        <v>1.8220242503836817E-2</v>
      </c>
      <c r="CC25" s="21">
        <f t="shared" si="31"/>
        <v>1.8197524773965339E-2</v>
      </c>
      <c r="CD25" s="21">
        <f t="shared" si="31"/>
        <v>1.8174954548249803E-2</v>
      </c>
      <c r="CE25" s="21">
        <f t="shared" si="31"/>
        <v>1.815253458897402E-2</v>
      </c>
      <c r="CF25" s="21">
        <f t="shared" si="31"/>
        <v>1.8130267487827686E-2</v>
      </c>
      <c r="CG25" s="21">
        <f t="shared" si="31"/>
        <v>1.8108155671846007E-2</v>
      </c>
      <c r="CH25" s="21">
        <f t="shared" si="31"/>
        <v>1.8086201409176422E-2</v>
      </c>
      <c r="CI25" s="21">
        <f t="shared" si="31"/>
        <v>1.8064406814676692E-2</v>
      </c>
      <c r="CJ25" s="21">
        <f t="shared" si="31"/>
        <v>1.8042773855346434E-2</v>
      </c>
      <c r="CK25" s="21">
        <f t="shared" si="31"/>
        <v>1.8021304355600457E-2</v>
      </c>
      <c r="CL25" s="21">
        <f t="shared" si="31"/>
        <v>1.8000000002382371E-2</v>
      </c>
    </row>
    <row r="26" spans="6:90" ht="18" customHeight="1" x14ac:dyDescent="0.25">
      <c r="F26" s="29">
        <v>1.8499999999999999E-2</v>
      </c>
      <c r="G26" s="21">
        <f t="shared" ref="G26:BR26" si="32">RATE(84,1,G54,0)</f>
        <v>1.969908594541243E-2</v>
      </c>
      <c r="H26" s="21">
        <f t="shared" si="32"/>
        <v>1.9697292213971426E-2</v>
      </c>
      <c r="I26" s="21">
        <f t="shared" si="32"/>
        <v>1.9694652323546669E-2</v>
      </c>
      <c r="J26" s="21">
        <f t="shared" si="32"/>
        <v>1.9691198941546605E-2</v>
      </c>
      <c r="K26" s="21">
        <f t="shared" si="32"/>
        <v>1.9686963896341215E-2</v>
      </c>
      <c r="L26" s="21">
        <f t="shared" si="32"/>
        <v>1.9681978188815404E-2</v>
      </c>
      <c r="M26" s="21">
        <f t="shared" si="32"/>
        <v>1.9676272004313891E-2</v>
      </c>
      <c r="N26" s="21">
        <f t="shared" si="32"/>
        <v>1.9669874724934519E-2</v>
      </c>
      <c r="O26" s="21">
        <f t="shared" si="32"/>
        <v>1.9662814942125958E-2</v>
      </c>
      <c r="P26" s="21">
        <f t="shared" si="32"/>
        <v>1.9655120469551025E-2</v>
      </c>
      <c r="Q26" s="21">
        <f t="shared" si="32"/>
        <v>1.964681835618046E-2</v>
      </c>
      <c r="R26" s="21">
        <f t="shared" si="32"/>
        <v>1.9637934899577891E-2</v>
      </c>
      <c r="S26" s="21">
        <f t="shared" si="32"/>
        <v>1.9628495659345664E-2</v>
      </c>
      <c r="T26" s="21">
        <f t="shared" si="32"/>
        <v>1.961852547069853E-2</v>
      </c>
      <c r="U26" s="21">
        <f t="shared" si="32"/>
        <v>1.9608048458137212E-2</v>
      </c>
      <c r="V26" s="21">
        <f t="shared" si="32"/>
        <v>1.9597088049193009E-2</v>
      </c>
      <c r="W26" s="21">
        <f t="shared" si="32"/>
        <v>1.9585666988218751E-2</v>
      </c>
      <c r="X26" s="21">
        <f t="shared" si="32"/>
        <v>1.9573807350200003E-2</v>
      </c>
      <c r="Y26" s="21">
        <f t="shared" si="32"/>
        <v>1.9561530554567438E-2</v>
      </c>
      <c r="Z26" s="21">
        <f t="shared" si="32"/>
        <v>1.9548857378985908E-2</v>
      </c>
      <c r="AA26" s="21">
        <f t="shared" si="32"/>
        <v>1.9535807973103402E-2</v>
      </c>
      <c r="AB26" s="21">
        <f t="shared" si="32"/>
        <v>1.9522401872240473E-2</v>
      </c>
      <c r="AC26" s="21">
        <f t="shared" si="32"/>
        <v>1.9508658011003922E-2</v>
      </c>
      <c r="AD26" s="21">
        <f t="shared" si="32"/>
        <v>1.9494594736810551E-2</v>
      </c>
      <c r="AE26" s="21">
        <f t="shared" si="32"/>
        <v>1.9480229823304801E-2</v>
      </c>
      <c r="AF26" s="21">
        <f t="shared" si="32"/>
        <v>1.9465580483659026E-2</v>
      </c>
      <c r="AG26" s="21">
        <f t="shared" si="32"/>
        <v>1.9450663383744751E-2</v>
      </c>
      <c r="AH26" s="21">
        <f t="shared" si="32"/>
        <v>1.9435494655162696E-2</v>
      </c>
      <c r="AI26" s="21">
        <f t="shared" si="32"/>
        <v>1.9420089908124268E-2</v>
      </c>
      <c r="AJ26" s="21">
        <f t="shared" si="32"/>
        <v>1.9404464244173029E-2</v>
      </c>
      <c r="AK26" s="21">
        <f t="shared" si="32"/>
        <v>1.938863226874098E-2</v>
      </c>
      <c r="AL26" s="21">
        <f t="shared" si="32"/>
        <v>1.9372608103530309E-2</v>
      </c>
      <c r="AM26" s="21">
        <f t="shared" si="32"/>
        <v>1.9356405398716657E-2</v>
      </c>
      <c r="AN26" s="21">
        <f t="shared" si="32"/>
        <v>1.9340037344966629E-2</v>
      </c>
      <c r="AO26" s="21">
        <f t="shared" si="32"/>
        <v>1.9323516685266145E-2</v>
      </c>
      <c r="AP26" s="21">
        <f t="shared" si="32"/>
        <v>1.9306855726554037E-2</v>
      </c>
      <c r="AQ26" s="21">
        <f t="shared" si="32"/>
        <v>1.9290066351159964E-2</v>
      </c>
      <c r="AR26" s="21">
        <f t="shared" si="32"/>
        <v>1.9273160028040456E-2</v>
      </c>
      <c r="AS26" s="32">
        <f t="shared" si="32"/>
        <v>1.9256147823813935E-2</v>
      </c>
      <c r="AT26" s="21">
        <f t="shared" si="32"/>
        <v>1.9239040413590563E-2</v>
      </c>
      <c r="AU26" s="21">
        <f t="shared" si="32"/>
        <v>1.9221848091597462E-2</v>
      </c>
      <c r="AV26" s="21">
        <f t="shared" si="32"/>
        <v>1.9204580781595929E-2</v>
      </c>
      <c r="AW26" s="21">
        <f t="shared" si="32"/>
        <v>1.9187248047092934E-2</v>
      </c>
      <c r="AX26" s="21">
        <f t="shared" si="32"/>
        <v>1.9169859101345263E-2</v>
      </c>
      <c r="AY26" s="21">
        <f t="shared" si="32"/>
        <v>1.9152422817155648E-2</v>
      </c>
      <c r="AZ26" s="21">
        <f t="shared" si="32"/>
        <v>1.9134947736463962E-2</v>
      </c>
      <c r="BA26" s="21">
        <f t="shared" si="32"/>
        <v>1.9117442079731546E-2</v>
      </c>
      <c r="BB26" s="21">
        <f t="shared" si="32"/>
        <v>1.9099913755121524E-2</v>
      </c>
      <c r="BC26" s="21">
        <f t="shared" si="32"/>
        <v>1.908237036747628E-2</v>
      </c>
      <c r="BD26" s="21">
        <f t="shared" si="32"/>
        <v>1.9064819227092505E-2</v>
      </c>
      <c r="BE26" s="21">
        <f t="shared" si="32"/>
        <v>1.9047267358296694E-2</v>
      </c>
      <c r="BF26" s="21">
        <f t="shared" si="32"/>
        <v>1.9029721507823238E-2</v>
      </c>
      <c r="BG26" s="21">
        <f t="shared" si="32"/>
        <v>1.901218815299632E-2</v>
      </c>
      <c r="BH26" s="21">
        <f t="shared" si="32"/>
        <v>1.8994673509717539E-2</v>
      </c>
      <c r="BI26" s="21">
        <f t="shared" si="32"/>
        <v>1.8977183540264335E-2</v>
      </c>
      <c r="BJ26" s="21">
        <f t="shared" si="32"/>
        <v>1.8959723960898036E-2</v>
      </c>
      <c r="BK26" s="21">
        <f t="shared" si="32"/>
        <v>1.8942300249286989E-2</v>
      </c>
      <c r="BL26" s="21">
        <f t="shared" si="32"/>
        <v>1.8924917651745855E-2</v>
      </c>
      <c r="BM26" s="21">
        <f t="shared" si="32"/>
        <v>1.8907581190295362E-2</v>
      </c>
      <c r="BN26" s="21">
        <f t="shared" si="32"/>
        <v>1.889029566954371E-2</v>
      </c>
      <c r="BO26" s="21">
        <f t="shared" si="32"/>
        <v>1.8873065683394294E-2</v>
      </c>
      <c r="BP26" s="21">
        <f t="shared" si="32"/>
        <v>1.8855895621580795E-2</v>
      </c>
      <c r="BQ26" s="21">
        <f t="shared" si="32"/>
        <v>1.8838789676035358E-2</v>
      </c>
      <c r="BR26" s="21">
        <f t="shared" si="32"/>
        <v>1.8821751847089525E-2</v>
      </c>
      <c r="BS26" s="21">
        <f t="shared" ref="BS26:CL26" si="33">RATE(84,1,BS54,0)</f>
        <v>1.8804785949514503E-2</v>
      </c>
      <c r="BT26" s="21">
        <f t="shared" si="33"/>
        <v>1.8787895618401156E-2</v>
      </c>
      <c r="BU26" s="21">
        <f t="shared" si="33"/>
        <v>1.8771084314884095E-2</v>
      </c>
      <c r="BV26" s="21">
        <f t="shared" si="33"/>
        <v>1.8754355331713442E-2</v>
      </c>
      <c r="BW26" s="21">
        <f t="shared" si="33"/>
        <v>1.8737711798676022E-2</v>
      </c>
      <c r="BX26" s="21">
        <f t="shared" si="33"/>
        <v>1.8721156687870312E-2</v>
      </c>
      <c r="BY26" s="21">
        <f t="shared" si="33"/>
        <v>1.8704692818837743E-2</v>
      </c>
      <c r="BZ26" s="21">
        <f t="shared" si="33"/>
        <v>1.8688322863553115E-2</v>
      </c>
      <c r="CA26" s="21">
        <f t="shared" si="33"/>
        <v>1.8672049351278554E-2</v>
      </c>
      <c r="CB26" s="21">
        <f t="shared" si="33"/>
        <v>1.865587467328211E-2</v>
      </c>
      <c r="CC26" s="21">
        <f t="shared" si="33"/>
        <v>1.8639801087425804E-2</v>
      </c>
      <c r="CD26" s="21">
        <f t="shared" si="33"/>
        <v>1.8623830722624409E-2</v>
      </c>
      <c r="CE26" s="21">
        <f t="shared" si="33"/>
        <v>1.8607965583180553E-2</v>
      </c>
      <c r="CF26" s="21">
        <f t="shared" si="33"/>
        <v>1.8592207552995507E-2</v>
      </c>
      <c r="CG26" s="21">
        <f t="shared" si="33"/>
        <v>1.8576558399661738E-2</v>
      </c>
      <c r="CH26" s="21">
        <f t="shared" si="33"/>
        <v>1.856101977843827E-2</v>
      </c>
      <c r="CI26" s="21">
        <f t="shared" si="33"/>
        <v>1.854559323611259E-2</v>
      </c>
      <c r="CJ26" s="21">
        <f t="shared" si="33"/>
        <v>1.8530280214750918E-2</v>
      </c>
      <c r="CK26" s="21">
        <f t="shared" si="33"/>
        <v>1.8515082055340873E-2</v>
      </c>
      <c r="CL26" s="21">
        <f t="shared" si="33"/>
        <v>1.8500000001327645E-2</v>
      </c>
    </row>
    <row r="27" spans="6:90" ht="18" customHeight="1" x14ac:dyDescent="0.25">
      <c r="F27" s="29">
        <v>1.9E-2</v>
      </c>
      <c r="G27" s="21">
        <f t="shared" ref="G27:BR27" si="34">RATE(84,1,G55,0)</f>
        <v>1.9699467058375764E-2</v>
      </c>
      <c r="H27" s="21">
        <f t="shared" si="34"/>
        <v>1.969842144731267E-2</v>
      </c>
      <c r="I27" s="21">
        <f t="shared" si="34"/>
        <v>1.9696882898586614E-2</v>
      </c>
      <c r="J27" s="21">
        <f t="shared" si="34"/>
        <v>1.9694870612306542E-2</v>
      </c>
      <c r="K27" s="21">
        <f t="shared" si="34"/>
        <v>1.9692403267213072E-2</v>
      </c>
      <c r="L27" s="21">
        <f t="shared" si="34"/>
        <v>1.968949903067856E-2</v>
      </c>
      <c r="M27" s="21">
        <f t="shared" si="34"/>
        <v>1.9686175568702797E-2</v>
      </c>
      <c r="N27" s="21">
        <f t="shared" si="34"/>
        <v>1.968245005588842E-2</v>
      </c>
      <c r="O27" s="21">
        <f t="shared" si="34"/>
        <v>1.9678339185385887E-2</v>
      </c>
      <c r="P27" s="21">
        <f t="shared" si="34"/>
        <v>1.9673859178796972E-2</v>
      </c>
      <c r="Q27" s="21">
        <f t="shared" si="34"/>
        <v>1.966902579602374E-2</v>
      </c>
      <c r="R27" s="21">
        <f t="shared" si="34"/>
        <v>1.9663854345056065E-2</v>
      </c>
      <c r="S27" s="21">
        <f t="shared" si="34"/>
        <v>1.9658359691687187E-2</v>
      </c>
      <c r="T27" s="21">
        <f t="shared" si="34"/>
        <v>1.9652556269149506E-2</v>
      </c>
      <c r="U27" s="21">
        <f t="shared" si="34"/>
        <v>1.9646458087662039E-2</v>
      </c>
      <c r="V27" s="21">
        <f t="shared" si="34"/>
        <v>1.9640078743884151E-2</v>
      </c>
      <c r="W27" s="21">
        <f t="shared" si="34"/>
        <v>1.9633431430268283E-2</v>
      </c>
      <c r="X27" s="21">
        <f t="shared" si="34"/>
        <v>1.9626528944306061E-2</v>
      </c>
      <c r="Y27" s="21">
        <f t="shared" si="34"/>
        <v>1.9619383697662262E-2</v>
      </c>
      <c r="Z27" s="21">
        <f t="shared" si="34"/>
        <v>1.9612007725192962E-2</v>
      </c>
      <c r="AA27" s="21">
        <f t="shared" si="34"/>
        <v>1.9604412693842228E-2</v>
      </c>
      <c r="AB27" s="21">
        <f t="shared" si="34"/>
        <v>1.9596609911414511E-2</v>
      </c>
      <c r="AC27" s="21">
        <f t="shared" si="34"/>
        <v>1.9588610335220712E-2</v>
      </c>
      <c r="AD27" s="21">
        <f t="shared" si="34"/>
        <v>1.9580424580591341E-2</v>
      </c>
      <c r="AE27" s="21">
        <f t="shared" si="34"/>
        <v>1.9572062929258494E-2</v>
      </c>
      <c r="AF27" s="21">
        <f t="shared" si="34"/>
        <v>1.9563535337602519E-2</v>
      </c>
      <c r="AG27" s="21">
        <f t="shared" si="34"/>
        <v>1.9554851444761E-2</v>
      </c>
      <c r="AH27" s="21">
        <f t="shared" si="34"/>
        <v>1.9546020580599739E-2</v>
      </c>
      <c r="AI27" s="21">
        <f t="shared" si="34"/>
        <v>1.953705177354504E-2</v>
      </c>
      <c r="AJ27" s="21">
        <f t="shared" si="34"/>
        <v>1.9527953758274225E-2</v>
      </c>
      <c r="AK27" s="21">
        <f t="shared" si="34"/>
        <v>1.951873498326686E-2</v>
      </c>
      <c r="AL27" s="21">
        <f t="shared" si="34"/>
        <v>1.9509403618213548E-2</v>
      </c>
      <c r="AM27" s="21">
        <f t="shared" si="34"/>
        <v>1.9499967561283731E-2</v>
      </c>
      <c r="AN27" s="21">
        <f t="shared" si="34"/>
        <v>1.9490434446252265E-2</v>
      </c>
      <c r="AO27" s="21">
        <f t="shared" si="34"/>
        <v>1.948081164948573E-2</v>
      </c>
      <c r="AP27" s="21">
        <f t="shared" si="34"/>
        <v>1.94711062967865E-2</v>
      </c>
      <c r="AQ27" s="21">
        <f t="shared" si="34"/>
        <v>1.9461325270098497E-2</v>
      </c>
      <c r="AR27" s="21">
        <f t="shared" si="34"/>
        <v>1.9451475214073498E-2</v>
      </c>
      <c r="AS27" s="32">
        <f t="shared" si="34"/>
        <v>1.9441562542499336E-2</v>
      </c>
      <c r="AT27" s="21">
        <f t="shared" si="34"/>
        <v>1.9431593444590084E-2</v>
      </c>
      <c r="AU27" s="21">
        <f t="shared" si="34"/>
        <v>1.9421573891142522E-2</v>
      </c>
      <c r="AV27" s="21">
        <f t="shared" si="34"/>
        <v>1.9411509640555383E-2</v>
      </c>
      <c r="AW27" s="21">
        <f t="shared" si="34"/>
        <v>1.9401406244717985E-2</v>
      </c>
      <c r="AX27" s="21">
        <f t="shared" si="34"/>
        <v>1.9391269054764893E-2</v>
      </c>
      <c r="AY27" s="21">
        <f t="shared" si="34"/>
        <v>1.9381103226702546E-2</v>
      </c>
      <c r="AZ27" s="21">
        <f t="shared" si="34"/>
        <v>1.9370913726905682E-2</v>
      </c>
      <c r="BA27" s="21">
        <f t="shared" si="34"/>
        <v>1.9360705337487901E-2</v>
      </c>
      <c r="BB27" s="21">
        <f t="shared" si="34"/>
        <v>1.9350482661547229E-2</v>
      </c>
      <c r="BC27" s="21">
        <f t="shared" si="34"/>
        <v>1.9340250128287866E-2</v>
      </c>
      <c r="BD27" s="21">
        <f t="shared" si="34"/>
        <v>1.9330011998020872E-2</v>
      </c>
      <c r="BE27" s="21">
        <f t="shared" si="34"/>
        <v>1.931977236704599E-2</v>
      </c>
      <c r="BF27" s="21">
        <f t="shared" si="34"/>
        <v>1.9309535172414936E-2</v>
      </c>
      <c r="BG27" s="21">
        <f t="shared" si="34"/>
        <v>1.929930419657936E-2</v>
      </c>
      <c r="BH27" s="21">
        <f t="shared" si="34"/>
        <v>1.9289083071925756E-2</v>
      </c>
      <c r="BI27" s="21">
        <f t="shared" si="34"/>
        <v>1.9278875285197582E-2</v>
      </c>
      <c r="BJ27" s="21">
        <f t="shared" si="34"/>
        <v>1.926868418180918E-2</v>
      </c>
      <c r="BK27" s="21">
        <f t="shared" si="34"/>
        <v>1.9258512970050747E-2</v>
      </c>
      <c r="BL27" s="21">
        <f t="shared" si="34"/>
        <v>1.9248364725187782E-2</v>
      </c>
      <c r="BM27" s="21">
        <f t="shared" si="34"/>
        <v>1.9238242393458147E-2</v>
      </c>
      <c r="BN27" s="21">
        <f t="shared" si="34"/>
        <v>1.9228148795966297E-2</v>
      </c>
      <c r="BO27" s="21">
        <f t="shared" si="34"/>
        <v>1.9218086632477687E-2</v>
      </c>
      <c r="BP27" s="21">
        <f t="shared" si="34"/>
        <v>1.9208058485116749E-2</v>
      </c>
      <c r="BQ27" s="21">
        <f t="shared" si="34"/>
        <v>1.9198066821968313E-2</v>
      </c>
      <c r="BR27" s="21">
        <f t="shared" si="34"/>
        <v>1.9188114000585749E-2</v>
      </c>
      <c r="BS27" s="21">
        <f t="shared" ref="BS27:CL27" si="35">RATE(84,1,BS55,0)</f>
        <v>1.9178202271406795E-2</v>
      </c>
      <c r="BT27" s="21">
        <f t="shared" si="35"/>
        <v>1.9168333781081313E-2</v>
      </c>
      <c r="BU27" s="21">
        <f t="shared" si="35"/>
        <v>1.9158510575708849E-2</v>
      </c>
      <c r="BV27" s="21">
        <f t="shared" si="35"/>
        <v>1.9148734603991874E-2</v>
      </c>
      <c r="BW27" s="21">
        <f t="shared" si="35"/>
        <v>1.9139007720305579E-2</v>
      </c>
      <c r="BX27" s="21">
        <f t="shared" si="35"/>
        <v>1.9129331687682945E-2</v>
      </c>
      <c r="BY27" s="21">
        <f t="shared" si="35"/>
        <v>1.9119708180722582E-2</v>
      </c>
      <c r="BZ27" s="21">
        <f t="shared" si="35"/>
        <v>1.9110138788416324E-2</v>
      </c>
      <c r="CA27" s="21">
        <f t="shared" si="35"/>
        <v>1.9100625016900283E-2</v>
      </c>
      <c r="CB27" s="21">
        <f t="shared" si="35"/>
        <v>1.9091168292131012E-2</v>
      </c>
      <c r="CC27" s="21">
        <f t="shared" si="35"/>
        <v>1.9081769962489666E-2</v>
      </c>
      <c r="CD27" s="21">
        <f t="shared" si="35"/>
        <v>1.9072431301312819E-2</v>
      </c>
      <c r="CE27" s="21">
        <f t="shared" si="35"/>
        <v>1.9063153509354922E-2</v>
      </c>
      <c r="CF27" s="21">
        <f t="shared" si="35"/>
        <v>1.9053937717182445E-2</v>
      </c>
      <c r="CG27" s="21">
        <f t="shared" si="35"/>
        <v>1.904478498750057E-2</v>
      </c>
      <c r="CH27" s="21">
        <f t="shared" si="35"/>
        <v>1.9035696317417052E-2</v>
      </c>
      <c r="CI27" s="21">
        <f t="shared" si="35"/>
        <v>1.9026672640640382E-2</v>
      </c>
      <c r="CJ27" s="21">
        <f t="shared" si="35"/>
        <v>1.901771482961814E-2</v>
      </c>
      <c r="CK27" s="21">
        <f t="shared" si="35"/>
        <v>1.900882369761454E-2</v>
      </c>
      <c r="CL27" s="21">
        <f t="shared" si="35"/>
        <v>1.9000000000728743E-2</v>
      </c>
    </row>
    <row r="28" spans="6:90" ht="18" customHeight="1" x14ac:dyDescent="0.25">
      <c r="F28" s="29">
        <v>1.95E-2</v>
      </c>
      <c r="G28" s="21">
        <f t="shared" ref="G28:BR29" si="36">RATE(84,1,G56,0)</f>
        <v>1.9699847804471926E-2</v>
      </c>
      <c r="H28" s="21">
        <f t="shared" si="36"/>
        <v>1.9699549267416738E-2</v>
      </c>
      <c r="I28" s="21">
        <f t="shared" si="36"/>
        <v>1.9699110077865796E-2</v>
      </c>
      <c r="J28" s="21">
        <f t="shared" si="36"/>
        <v>1.9698535762600819E-2</v>
      </c>
      <c r="K28" s="21">
        <f t="shared" si="36"/>
        <v>1.9697831690331017E-2</v>
      </c>
      <c r="L28" s="21">
        <f t="shared" si="36"/>
        <v>1.969700307549441E-2</v>
      </c>
      <c r="M28" s="21">
        <f t="shared" si="36"/>
        <v>1.9696054981983461E-2</v>
      </c>
      <c r="N28" s="21">
        <f t="shared" si="36"/>
        <v>1.9694992326802576E-2</v>
      </c>
      <c r="O28" s="21">
        <f t="shared" si="36"/>
        <v>1.9693819883652756E-2</v>
      </c>
      <c r="P28" s="21">
        <f t="shared" si="36"/>
        <v>1.9692542286445805E-2</v>
      </c>
      <c r="Q28" s="21">
        <f t="shared" si="36"/>
        <v>1.9691164032749644E-2</v>
      </c>
      <c r="R28" s="21">
        <f t="shared" si="36"/>
        <v>1.9689689487164513E-2</v>
      </c>
      <c r="S28" s="21">
        <f t="shared" si="36"/>
        <v>1.968812288462924E-2</v>
      </c>
      <c r="T28" s="21">
        <f t="shared" si="36"/>
        <v>1.9686468333661694E-2</v>
      </c>
      <c r="U28" s="21">
        <f t="shared" si="36"/>
        <v>1.9684729819531399E-2</v>
      </c>
      <c r="V28" s="21">
        <f t="shared" si="36"/>
        <v>1.9682911207366181E-2</v>
      </c>
      <c r="W28" s="21">
        <f t="shared" si="36"/>
        <v>1.9681016245193451E-2</v>
      </c>
      <c r="X28" s="21">
        <f t="shared" si="36"/>
        <v>1.9679048566916924E-2</v>
      </c>
      <c r="Y28" s="21">
        <f t="shared" si="36"/>
        <v>1.9677011695230531E-2</v>
      </c>
      <c r="Z28" s="21">
        <f t="shared" si="36"/>
        <v>1.9674909044468121E-2</v>
      </c>
      <c r="AA28" s="21">
        <f t="shared" si="36"/>
        <v>1.9672743923392938E-2</v>
      </c>
      <c r="AB28" s="21">
        <f t="shared" si="36"/>
        <v>1.9670519537925441E-2</v>
      </c>
      <c r="AC28" s="21">
        <f t="shared" si="36"/>
        <v>1.9668238993810389E-2</v>
      </c>
      <c r="AD28" s="21">
        <f t="shared" si="36"/>
        <v>1.9665905299226516E-2</v>
      </c>
      <c r="AE28" s="21">
        <f t="shared" si="36"/>
        <v>1.9663521367336689E-2</v>
      </c>
      <c r="AF28" s="21">
        <f t="shared" si="36"/>
        <v>1.9661090018781423E-2</v>
      </c>
      <c r="AG28" s="21">
        <f t="shared" si="36"/>
        <v>1.9658613984115614E-2</v>
      </c>
      <c r="AH28" s="21">
        <f t="shared" si="36"/>
        <v>1.9656095906191353E-2</v>
      </c>
      <c r="AI28" s="21">
        <f t="shared" si="36"/>
        <v>1.9653538342484605E-2</v>
      </c>
      <c r="AJ28" s="21">
        <f t="shared" si="36"/>
        <v>1.9650943767369242E-2</v>
      </c>
      <c r="AK28" s="21">
        <f t="shared" si="36"/>
        <v>1.9648314574338892E-2</v>
      </c>
      <c r="AL28" s="21">
        <f t="shared" si="36"/>
        <v>1.9645653078177179E-2</v>
      </c>
      <c r="AM28" s="21">
        <f t="shared" si="36"/>
        <v>1.9642961517076694E-2</v>
      </c>
      <c r="AN28" s="21">
        <f t="shared" si="36"/>
        <v>1.9640242054708826E-2</v>
      </c>
      <c r="AO28" s="21">
        <f t="shared" si="36"/>
        <v>1.9637496782245016E-2</v>
      </c>
      <c r="AP28" s="21">
        <f t="shared" si="36"/>
        <v>1.9634727720329991E-2</v>
      </c>
      <c r="AQ28" s="21">
        <f t="shared" si="36"/>
        <v>1.9631936821007924E-2</v>
      </c>
      <c r="AR28" s="21">
        <f t="shared" si="36"/>
        <v>1.9629125969603062E-2</v>
      </c>
      <c r="AS28" s="32">
        <f t="shared" si="36"/>
        <v>1.9626296986554447E-2</v>
      </c>
      <c r="AT28" s="21">
        <f t="shared" si="36"/>
        <v>1.9623451629207967E-2</v>
      </c>
      <c r="AU28" s="21">
        <f t="shared" si="36"/>
        <v>1.9620591593563077E-2</v>
      </c>
      <c r="AV28" s="21">
        <f t="shared" si="36"/>
        <v>1.961771851597963E-2</v>
      </c>
      <c r="AW28" s="21">
        <f t="shared" si="36"/>
        <v>1.9614833974839947E-2</v>
      </c>
      <c r="AX28" s="21">
        <f t="shared" si="36"/>
        <v>1.9611939492173564E-2</v>
      </c>
      <c r="AY28" s="21">
        <f t="shared" si="36"/>
        <v>1.9609036535239523E-2</v>
      </c>
      <c r="AZ28" s="21">
        <f t="shared" si="36"/>
        <v>1.9606126518071459E-2</v>
      </c>
      <c r="BA28" s="21">
        <f t="shared" si="36"/>
        <v>1.9603210802982638E-2</v>
      </c>
      <c r="BB28" s="21">
        <f t="shared" si="36"/>
        <v>1.9600290702035957E-2</v>
      </c>
      <c r="BC28" s="21">
        <f t="shared" si="36"/>
        <v>1.9597367478474986E-2</v>
      </c>
      <c r="BD28" s="21">
        <f t="shared" si="36"/>
        <v>1.9594442348121105E-2</v>
      </c>
      <c r="BE28" s="21">
        <f t="shared" si="36"/>
        <v>1.9591516480734282E-2</v>
      </c>
      <c r="BF28" s="21">
        <f t="shared" si="36"/>
        <v>1.9588591001340382E-2</v>
      </c>
      <c r="BG28" s="21">
        <f t="shared" si="36"/>
        <v>1.9585666991525325E-2</v>
      </c>
      <c r="BH28" s="21">
        <f t="shared" si="36"/>
        <v>1.958274549069455E-2</v>
      </c>
      <c r="BI28" s="21">
        <f t="shared" si="36"/>
        <v>1.9579827497303658E-2</v>
      </c>
      <c r="BJ28" s="21">
        <f t="shared" si="36"/>
        <v>1.9576913970054195E-2</v>
      </c>
      <c r="BK28" s="21">
        <f t="shared" si="36"/>
        <v>1.9574005829061714E-2</v>
      </c>
      <c r="BL28" s="21">
        <f t="shared" si="36"/>
        <v>1.9571103956992381E-2</v>
      </c>
      <c r="BM28" s="21">
        <f t="shared" si="36"/>
        <v>1.9568209200170838E-2</v>
      </c>
      <c r="BN28" s="21">
        <f t="shared" si="36"/>
        <v>1.9565322369659455E-2</v>
      </c>
      <c r="BO28" s="21">
        <f t="shared" si="36"/>
        <v>1.9562444242309233E-2</v>
      </c>
      <c r="BP28" s="21">
        <f t="shared" si="36"/>
        <v>1.9559575561784417E-2</v>
      </c>
      <c r="BQ28" s="21">
        <f t="shared" si="36"/>
        <v>1.9556717039559707E-2</v>
      </c>
      <c r="BR28" s="21">
        <f t="shared" si="36"/>
        <v>1.9553869355891557E-2</v>
      </c>
      <c r="BS28" s="21">
        <f t="shared" ref="BS28:CL29" si="37">RATE(84,1,BS56,0)</f>
        <v>1.9551033160764269E-2</v>
      </c>
      <c r="BT28" s="21">
        <f t="shared" si="37"/>
        <v>1.9548209074810963E-2</v>
      </c>
      <c r="BU28" s="21">
        <f t="shared" si="37"/>
        <v>1.954539769021094E-2</v>
      </c>
      <c r="BV28" s="21">
        <f t="shared" si="37"/>
        <v>1.9542599571562739E-2</v>
      </c>
      <c r="BW28" s="21">
        <f t="shared" si="37"/>
        <v>1.9539815256733931E-2</v>
      </c>
      <c r="BX28" s="21">
        <f t="shared" si="37"/>
        <v>1.9537045257690164E-2</v>
      </c>
      <c r="BY28" s="21">
        <f t="shared" si="37"/>
        <v>1.953429006129884E-2</v>
      </c>
      <c r="BZ28" s="21">
        <f t="shared" si="37"/>
        <v>1.9531550130115091E-2</v>
      </c>
      <c r="CA28" s="21">
        <f t="shared" si="37"/>
        <v>1.9528825903144028E-2</v>
      </c>
      <c r="CB28" s="21">
        <f t="shared" si="37"/>
        <v>1.9526117796583711E-2</v>
      </c>
      <c r="CC28" s="21">
        <f t="shared" si="37"/>
        <v>1.9523426204548434E-2</v>
      </c>
      <c r="CD28" s="21">
        <f t="shared" si="37"/>
        <v>1.9520751499771043E-2</v>
      </c>
      <c r="CE28" s="21">
        <f t="shared" si="37"/>
        <v>1.9518094034288631E-2</v>
      </c>
      <c r="CF28" s="21">
        <f t="shared" si="37"/>
        <v>1.9515454140106945E-2</v>
      </c>
      <c r="CG28" s="21">
        <f t="shared" si="37"/>
        <v>1.9512832129849448E-2</v>
      </c>
      <c r="CH28" s="21">
        <f t="shared" si="37"/>
        <v>1.9510228297386332E-2</v>
      </c>
      <c r="CI28" s="21">
        <f t="shared" si="37"/>
        <v>1.9507642918448278E-2</v>
      </c>
      <c r="CJ28" s="21">
        <f t="shared" si="37"/>
        <v>1.9505076251221748E-2</v>
      </c>
      <c r="CK28" s="21">
        <f t="shared" si="37"/>
        <v>1.9502528536929371E-2</v>
      </c>
      <c r="CL28" s="21">
        <f t="shared" si="37"/>
        <v>1.9500000000393654E-2</v>
      </c>
    </row>
    <row r="29" spans="6:90" ht="18" customHeight="1" thickBot="1" x14ac:dyDescent="0.3">
      <c r="F29" s="30">
        <v>1.9699999999999999E-2</v>
      </c>
      <c r="G29" s="21">
        <f>RATE(84,1,G57,0)</f>
        <v>1.9700000000306334E-2</v>
      </c>
      <c r="H29" s="21">
        <f t="shared" si="36"/>
        <v>1.9700000000306344E-2</v>
      </c>
      <c r="I29" s="21">
        <f t="shared" si="36"/>
        <v>1.9700000000306334E-2</v>
      </c>
      <c r="J29" s="21">
        <f t="shared" si="36"/>
        <v>1.9700000000306344E-2</v>
      </c>
      <c r="K29" s="21">
        <f t="shared" si="36"/>
        <v>1.9700000000306344E-2</v>
      </c>
      <c r="L29" s="21">
        <f t="shared" si="36"/>
        <v>1.9700000000306334E-2</v>
      </c>
      <c r="M29" s="21">
        <f t="shared" si="36"/>
        <v>1.9700000000306347E-2</v>
      </c>
      <c r="N29" s="21">
        <f t="shared" si="36"/>
        <v>1.9700000000306337E-2</v>
      </c>
      <c r="O29" s="21">
        <f t="shared" si="36"/>
        <v>1.9700000000306334E-2</v>
      </c>
      <c r="P29" s="21">
        <f t="shared" si="36"/>
        <v>1.9700000000306334E-2</v>
      </c>
      <c r="Q29" s="21">
        <f t="shared" si="36"/>
        <v>1.9700000000306344E-2</v>
      </c>
      <c r="R29" s="21">
        <f t="shared" si="36"/>
        <v>1.9700000000306344E-2</v>
      </c>
      <c r="S29" s="21">
        <f t="shared" si="36"/>
        <v>1.9700000000306334E-2</v>
      </c>
      <c r="T29" s="21">
        <f t="shared" si="36"/>
        <v>1.9700000000306334E-2</v>
      </c>
      <c r="U29" s="21">
        <f t="shared" si="36"/>
        <v>1.9700000000306334E-2</v>
      </c>
      <c r="V29" s="21">
        <f t="shared" si="36"/>
        <v>1.9700000000306334E-2</v>
      </c>
      <c r="W29" s="21">
        <f t="shared" si="36"/>
        <v>1.9700000000306334E-2</v>
      </c>
      <c r="X29" s="21">
        <f t="shared" si="36"/>
        <v>1.9700000000306334E-2</v>
      </c>
      <c r="Y29" s="21">
        <f t="shared" si="36"/>
        <v>1.9700000000306344E-2</v>
      </c>
      <c r="Z29" s="21">
        <f t="shared" si="36"/>
        <v>1.9700000000306334E-2</v>
      </c>
      <c r="AA29" s="21">
        <f t="shared" si="36"/>
        <v>1.9700000000306334E-2</v>
      </c>
      <c r="AB29" s="21">
        <f t="shared" si="36"/>
        <v>1.9700000000306334E-2</v>
      </c>
      <c r="AC29" s="21">
        <f t="shared" si="36"/>
        <v>1.9700000000306334E-2</v>
      </c>
      <c r="AD29" s="21">
        <f t="shared" si="36"/>
        <v>1.9700000000306334E-2</v>
      </c>
      <c r="AE29" s="21">
        <f t="shared" si="36"/>
        <v>1.9700000000306334E-2</v>
      </c>
      <c r="AF29" s="21">
        <f t="shared" si="36"/>
        <v>1.9700000000306347E-2</v>
      </c>
      <c r="AG29" s="21">
        <f t="shared" si="36"/>
        <v>1.9700000000306334E-2</v>
      </c>
      <c r="AH29" s="21">
        <f t="shared" si="36"/>
        <v>1.9700000000306334E-2</v>
      </c>
      <c r="AI29" s="21">
        <f t="shared" si="36"/>
        <v>1.9700000000306334E-2</v>
      </c>
      <c r="AJ29" s="21">
        <f t="shared" si="36"/>
        <v>1.9700000000306334E-2</v>
      </c>
      <c r="AK29" s="21">
        <f t="shared" si="36"/>
        <v>1.9700000000306344E-2</v>
      </c>
      <c r="AL29" s="21">
        <f t="shared" si="36"/>
        <v>1.9700000000306334E-2</v>
      </c>
      <c r="AM29" s="21">
        <f t="shared" si="36"/>
        <v>1.9700000000306334E-2</v>
      </c>
      <c r="AN29" s="21">
        <f t="shared" si="36"/>
        <v>1.9700000000306334E-2</v>
      </c>
      <c r="AO29" s="21">
        <f t="shared" si="36"/>
        <v>1.9700000000306344E-2</v>
      </c>
      <c r="AP29" s="21">
        <f t="shared" si="36"/>
        <v>1.9700000000306334E-2</v>
      </c>
      <c r="AQ29" s="21">
        <f t="shared" si="36"/>
        <v>1.9700000000306334E-2</v>
      </c>
      <c r="AR29" s="21">
        <f t="shared" si="36"/>
        <v>1.9700000000306334E-2</v>
      </c>
      <c r="AS29" s="32">
        <f t="shared" si="36"/>
        <v>1.9700000000306334E-2</v>
      </c>
      <c r="AT29" s="21">
        <f t="shared" si="36"/>
        <v>1.9700000000306334E-2</v>
      </c>
      <c r="AU29" s="21">
        <f t="shared" si="36"/>
        <v>1.9700000000306334E-2</v>
      </c>
      <c r="AV29" s="21">
        <f t="shared" si="36"/>
        <v>1.9700000000306344E-2</v>
      </c>
      <c r="AW29" s="21">
        <f t="shared" si="36"/>
        <v>1.9700000000306334E-2</v>
      </c>
      <c r="AX29" s="21">
        <f t="shared" si="36"/>
        <v>1.9700000000306334E-2</v>
      </c>
      <c r="AY29" s="21">
        <f t="shared" si="36"/>
        <v>1.9700000000306334E-2</v>
      </c>
      <c r="AZ29" s="21">
        <f t="shared" si="36"/>
        <v>1.9700000000306344E-2</v>
      </c>
      <c r="BA29" s="21">
        <f t="shared" si="36"/>
        <v>1.9700000000306334E-2</v>
      </c>
      <c r="BB29" s="21">
        <f t="shared" si="36"/>
        <v>1.9700000000306334E-2</v>
      </c>
      <c r="BC29" s="21">
        <f t="shared" si="36"/>
        <v>1.9700000000306334E-2</v>
      </c>
      <c r="BD29" s="21">
        <f t="shared" si="36"/>
        <v>1.9700000000306344E-2</v>
      </c>
      <c r="BE29" s="21">
        <f t="shared" si="36"/>
        <v>1.9700000000306334E-2</v>
      </c>
      <c r="BF29" s="21">
        <f t="shared" si="36"/>
        <v>1.9700000000306334E-2</v>
      </c>
      <c r="BG29" s="21">
        <f t="shared" si="36"/>
        <v>1.9700000000306344E-2</v>
      </c>
      <c r="BH29" s="21">
        <f t="shared" si="36"/>
        <v>1.9700000000306334E-2</v>
      </c>
      <c r="BI29" s="21">
        <f t="shared" si="36"/>
        <v>1.9700000000306334E-2</v>
      </c>
      <c r="BJ29" s="21">
        <f t="shared" si="36"/>
        <v>1.9700000000306344E-2</v>
      </c>
      <c r="BK29" s="21">
        <f t="shared" si="36"/>
        <v>1.9700000000306344E-2</v>
      </c>
      <c r="BL29" s="21">
        <f t="shared" si="36"/>
        <v>1.9700000000306344E-2</v>
      </c>
      <c r="BM29" s="21">
        <f t="shared" si="36"/>
        <v>1.9700000000306334E-2</v>
      </c>
      <c r="BN29" s="21">
        <f t="shared" si="36"/>
        <v>1.9700000000306334E-2</v>
      </c>
      <c r="BO29" s="21">
        <f t="shared" si="36"/>
        <v>1.9700000000306344E-2</v>
      </c>
      <c r="BP29" s="21">
        <f t="shared" si="36"/>
        <v>1.9700000000306334E-2</v>
      </c>
      <c r="BQ29" s="21">
        <f t="shared" si="36"/>
        <v>1.9700000000306334E-2</v>
      </c>
      <c r="BR29" s="21">
        <f t="shared" si="36"/>
        <v>1.9700000000306344E-2</v>
      </c>
      <c r="BS29" s="21">
        <f t="shared" si="37"/>
        <v>1.9700000000306344E-2</v>
      </c>
      <c r="BT29" s="21">
        <f t="shared" si="37"/>
        <v>1.9700000000306334E-2</v>
      </c>
      <c r="BU29" s="21">
        <f t="shared" si="37"/>
        <v>1.9700000000306334E-2</v>
      </c>
      <c r="BV29" s="21">
        <f t="shared" si="37"/>
        <v>1.9700000000306334E-2</v>
      </c>
      <c r="BW29" s="21">
        <f t="shared" si="37"/>
        <v>1.9700000000306344E-2</v>
      </c>
      <c r="BX29" s="21">
        <f t="shared" si="37"/>
        <v>1.9700000000306344E-2</v>
      </c>
      <c r="BY29" s="21">
        <f t="shared" si="37"/>
        <v>1.9700000000306344E-2</v>
      </c>
      <c r="BZ29" s="21">
        <f t="shared" si="37"/>
        <v>1.9700000000306344E-2</v>
      </c>
      <c r="CA29" s="21">
        <f t="shared" si="37"/>
        <v>1.9700000000306344E-2</v>
      </c>
      <c r="CB29" s="21">
        <f t="shared" si="37"/>
        <v>1.9700000000306334E-2</v>
      </c>
      <c r="CC29" s="21">
        <f t="shared" si="37"/>
        <v>1.9700000000306334E-2</v>
      </c>
      <c r="CD29" s="21">
        <f t="shared" si="37"/>
        <v>1.9700000000306334E-2</v>
      </c>
      <c r="CE29" s="21">
        <f t="shared" si="37"/>
        <v>1.9700000000306344E-2</v>
      </c>
      <c r="CF29" s="21">
        <f t="shared" si="37"/>
        <v>1.9700000000306334E-2</v>
      </c>
      <c r="CG29" s="21">
        <f t="shared" si="37"/>
        <v>1.9700000000306344E-2</v>
      </c>
      <c r="CH29" s="21">
        <f t="shared" si="37"/>
        <v>1.9700000000306344E-2</v>
      </c>
      <c r="CI29" s="21">
        <f t="shared" si="37"/>
        <v>1.9700000000306344E-2</v>
      </c>
      <c r="CJ29" s="21">
        <f t="shared" si="37"/>
        <v>1.9700000000306344E-2</v>
      </c>
      <c r="CK29" s="21">
        <f t="shared" si="37"/>
        <v>1.9700000000306344E-2</v>
      </c>
      <c r="CL29" s="21">
        <f t="shared" si="37"/>
        <v>1.9700000000306344E-2</v>
      </c>
    </row>
    <row r="30" spans="6:90" x14ac:dyDescent="0.25">
      <c r="F30" s="24"/>
      <c r="G30" s="21"/>
    </row>
    <row r="32" spans="6:90" hidden="1" x14ac:dyDescent="0.25"/>
    <row r="33" spans="7:91" hidden="1" x14ac:dyDescent="0.25"/>
    <row r="34" spans="7:91" hidden="1" x14ac:dyDescent="0.25"/>
    <row r="35" spans="7:91" hidden="1" x14ac:dyDescent="0.25"/>
    <row r="36" spans="7:91" hidden="1" x14ac:dyDescent="0.25"/>
    <row r="37" spans="7:91" hidden="1" x14ac:dyDescent="0.25"/>
    <row r="38" spans="7:91" hidden="1" x14ac:dyDescent="0.25">
      <c r="G38" s="22">
        <f>PV($F10,G$9,1,0)+(PV($G$6,84-G$9,1,0)/($G$6+1)^G$9)</f>
        <v>-40.910458914225757</v>
      </c>
      <c r="H38" s="22">
        <f t="shared" ref="H38:BS38" si="38">PV($F10,H$9,1,0)+(PV($G$6,84-H$9,1,0)/($G$6+1)^H$9)</f>
        <v>-40.927082238301857</v>
      </c>
      <c r="I38" s="22">
        <f t="shared" si="38"/>
        <v>-40.951640859818738</v>
      </c>
      <c r="J38" s="22">
        <f t="shared" si="38"/>
        <v>-40.983891640738477</v>
      </c>
      <c r="K38" s="22">
        <f t="shared" si="38"/>
        <v>-41.023597117715283</v>
      </c>
      <c r="L38" s="22">
        <f t="shared" si="38"/>
        <v>-41.070525381829228</v>
      </c>
      <c r="M38" s="22">
        <f t="shared" si="38"/>
        <v>-41.124449960759165</v>
      </c>
      <c r="N38" s="22">
        <f t="shared" si="38"/>
        <v>-41.185149703346625</v>
      </c>
      <c r="O38" s="22">
        <f t="shared" si="38"/>
        <v>-41.252408666502809</v>
      </c>
      <c r="P38" s="22">
        <f t="shared" si="38"/>
        <v>-41.326016004412665</v>
      </c>
      <c r="Q38" s="22">
        <f t="shared" si="38"/>
        <v>-41.405765859990098</v>
      </c>
      <c r="R38" s="22">
        <f t="shared" si="38"/>
        <v>-41.491457258539796</v>
      </c>
      <c r="S38" s="22">
        <f t="shared" si="38"/>
        <v>-41.582894003581771</v>
      </c>
      <c r="T38" s="22">
        <f t="shared" si="38"/>
        <v>-41.6798845747958</v>
      </c>
      <c r="U38" s="22">
        <f t="shared" si="38"/>
        <v>-41.782242028043299</v>
      </c>
      <c r="V38" s="22">
        <f t="shared" si="38"/>
        <v>-41.889783897425843</v>
      </c>
      <c r="W38" s="22">
        <f t="shared" si="38"/>
        <v>-42.002332099339384</v>
      </c>
      <c r="X38" s="22">
        <f t="shared" si="38"/>
        <v>-42.119712838484716</v>
      </c>
      <c r="Y38" s="22">
        <f t="shared" si="38"/>
        <v>-42.241756515795316</v>
      </c>
      <c r="Z38" s="22">
        <f t="shared" si="38"/>
        <v>-42.368297638244172</v>
      </c>
      <c r="AA38" s="22">
        <f t="shared" si="38"/>
        <v>-42.499174730492555</v>
      </c>
      <c r="AB38" s="22">
        <f t="shared" si="38"/>
        <v>-42.634230248343776</v>
      </c>
      <c r="AC38" s="22">
        <f t="shared" si="38"/>
        <v>-42.773310493966001</v>
      </c>
      <c r="AD38" s="22">
        <f t="shared" si="38"/>
        <v>-42.916265532849209</v>
      </c>
      <c r="AE38" s="22">
        <f t="shared" si="38"/>
        <v>-43.062949112461297</v>
      </c>
      <c r="AF38" s="22">
        <f t="shared" si="38"/>
        <v>-43.21321858256988</v>
      </c>
      <c r="AG38" s="22">
        <f t="shared" si="38"/>
        <v>-43.366934817196217</v>
      </c>
      <c r="AH38" s="22">
        <f t="shared" si="38"/>
        <v>-43.523962138169011</v>
      </c>
      <c r="AI38" s="22">
        <f t="shared" si="38"/>
        <v>-43.684168240246024</v>
      </c>
      <c r="AJ38" s="22">
        <f t="shared" si="38"/>
        <v>-43.84742411777232</v>
      </c>
      <c r="AK38" s="22">
        <f t="shared" si="38"/>
        <v>-44.013603992844324</v>
      </c>
      <c r="AL38" s="22">
        <f t="shared" si="38"/>
        <v>-44.18258524494977</v>
      </c>
      <c r="AM38" s="22">
        <f t="shared" si="38"/>
        <v>-44.354248342054049</v>
      </c>
      <c r="AN38" s="22">
        <f t="shared" si="38"/>
        <v>-44.528476773104025</v>
      </c>
      <c r="AO38" s="22">
        <f t="shared" si="38"/>
        <v>-44.705156981921</v>
      </c>
      <c r="AP38" s="22">
        <f t="shared" si="38"/>
        <v>-44.884178302455098</v>
      </c>
      <c r="AQ38" s="22">
        <f t="shared" si="38"/>
        <v>-45.06543289537381</v>
      </c>
      <c r="AR38" s="22">
        <f t="shared" si="38"/>
        <v>-45.248815685958121</v>
      </c>
      <c r="AS38" s="22">
        <f t="shared" si="38"/>
        <v>-45.434224303279777</v>
      </c>
      <c r="AT38" s="22">
        <f t="shared" si="38"/>
        <v>-45.621559020634535</v>
      </c>
      <c r="AU38" s="22">
        <f t="shared" si="38"/>
        <v>-45.810722697205733</v>
      </c>
      <c r="AV38" s="22">
        <f t="shared" si="38"/>
        <v>-46.001620720933907</v>
      </c>
      <c r="AW38" s="22">
        <f t="shared" si="38"/>
        <v>-46.194160952568154</v>
      </c>
      <c r="AX38" s="22">
        <f t="shared" si="38"/>
        <v>-46.38825367087555</v>
      </c>
      <c r="AY38" s="22">
        <f t="shared" si="38"/>
        <v>-46.583811518985456</v>
      </c>
      <c r="AZ38" s="22">
        <f t="shared" si="38"/>
        <v>-46.780749451845999</v>
      </c>
      <c r="BA38" s="22">
        <f t="shared" si="38"/>
        <v>-46.978984684770239</v>
      </c>
      <c r="BB38" s="22">
        <f t="shared" si="38"/>
        <v>-47.178436643050375</v>
      </c>
      <c r="BC38" s="22">
        <f t="shared" si="38"/>
        <v>-47.379026912618478</v>
      </c>
      <c r="BD38" s="22">
        <f t="shared" si="38"/>
        <v>-47.580679191732592</v>
      </c>
      <c r="BE38" s="22">
        <f t="shared" si="38"/>
        <v>-47.783319243667854</v>
      </c>
      <c r="BF38" s="22">
        <f t="shared" si="38"/>
        <v>-47.986874850392248</v>
      </c>
      <c r="BG38" s="22">
        <f t="shared" si="38"/>
        <v>-48.191275767207316</v>
      </c>
      <c r="BH38" s="22">
        <f t="shared" si="38"/>
        <v>-48.396453678334368</v>
      </c>
      <c r="BI38" s="22">
        <f t="shared" si="38"/>
        <v>-48.602342153427074</v>
      </c>
      <c r="BJ38" s="22">
        <f t="shared" si="38"/>
        <v>-48.808876604992115</v>
      </c>
      <c r="BK38" s="22">
        <f t="shared" si="38"/>
        <v>-49.015994246699123</v>
      </c>
      <c r="BL38" s="22">
        <f t="shared" si="38"/>
        <v>-49.223634052562602</v>
      </c>
      <c r="BM38" s="22">
        <f t="shared" si="38"/>
        <v>-49.431736716977639</v>
      </c>
      <c r="BN38" s="22">
        <f t="shared" si="38"/>
        <v>-49.640244615592657</v>
      </c>
      <c r="BO38" s="22">
        <f t="shared" si="38"/>
        <v>-49.849101767002132</v>
      </c>
      <c r="BP38" s="22">
        <f t="shared" si="38"/>
        <v>-50.058253795242869</v>
      </c>
      <c r="BQ38" s="22">
        <f t="shared" si="38"/>
        <v>-50.267647893077317</v>
      </c>
      <c r="BR38" s="22">
        <f t="shared" si="38"/>
        <v>-50.477232786048468</v>
      </c>
      <c r="BS38" s="22">
        <f t="shared" si="38"/>
        <v>-50.686958697290436</v>
      </c>
      <c r="BT38" s="22">
        <f t="shared" ref="BT38:CL38" si="39">PV($F10,BT$9,1,0)+(PV($G$6,84-BT$9,1,0)/($G$6+1)^BT$9)</f>
        <v>-50.89677731307961</v>
      </c>
      <c r="BU38" s="22">
        <f t="shared" si="39"/>
        <v>-51.106641749111255</v>
      </c>
      <c r="BV38" s="22">
        <f t="shared" si="39"/>
        <v>-51.316506517487056</v>
      </c>
      <c r="BW38" s="22">
        <f t="shared" si="39"/>
        <v>-51.52632749439929</v>
      </c>
      <c r="BX38" s="22">
        <f t="shared" si="39"/>
        <v>-51.73606188849714</v>
      </c>
      <c r="BY38" s="22">
        <f t="shared" si="39"/>
        <v>-51.94566820992182</v>
      </c>
      <c r="BZ38" s="22">
        <f t="shared" si="39"/>
        <v>-52.155106239996663</v>
      </c>
      <c r="CA38" s="22">
        <f t="shared" si="39"/>
        <v>-52.364337001558951</v>
      </c>
      <c r="CB38" s="22">
        <f t="shared" si="39"/>
        <v>-52.57332272992064</v>
      </c>
      <c r="CC38" s="22">
        <f t="shared" si="39"/>
        <v>-52.7820268444449</v>
      </c>
      <c r="CD38" s="22">
        <f t="shared" si="39"/>
        <v>-52.990413920726347</v>
      </c>
      <c r="CE38" s="22">
        <f t="shared" si="39"/>
        <v>-53.198449663362474</v>
      </c>
      <c r="CF38" s="22">
        <f t="shared" si="39"/>
        <v>-53.406100879304304</v>
      </c>
      <c r="CG38" s="22">
        <f t="shared" si="39"/>
        <v>-53.613335451774567</v>
      </c>
      <c r="CH38" s="22">
        <f t="shared" si="39"/>
        <v>-53.820122314741788</v>
      </c>
      <c r="CI38" s="22">
        <f t="shared" si="39"/>
        <v>-54.026431427939073</v>
      </c>
      <c r="CJ38" s="22">
        <f t="shared" si="39"/>
        <v>-54.23223375241642</v>
      </c>
      <c r="CK38" s="22">
        <f t="shared" si="39"/>
        <v>-54.437501226615701</v>
      </c>
      <c r="CL38" s="22">
        <f t="shared" si="39"/>
        <v>-54.642206742957747</v>
      </c>
      <c r="CM38" s="22"/>
    </row>
    <row r="39" spans="7:91" hidden="1" x14ac:dyDescent="0.25">
      <c r="G39" s="22">
        <f t="shared" ref="G39:BR39" si="40">PV($F11,G$9,1,0)+(PV($G$6,84-G$9,1,0)/($G$6+1)^G$9)</f>
        <v>-40.909676846873737</v>
      </c>
      <c r="H39" s="22">
        <f t="shared" si="40"/>
        <v>-40.924753666155787</v>
      </c>
      <c r="I39" s="22">
        <f t="shared" si="40"/>
        <v>-40.947018677157658</v>
      </c>
      <c r="J39" s="22">
        <f t="shared" si="40"/>
        <v>-40.976245779858523</v>
      </c>
      <c r="K39" s="22">
        <f t="shared" si="40"/>
        <v>-41.012214259647322</v>
      </c>
      <c r="L39" s="22">
        <f t="shared" si="40"/>
        <v>-41.054708671415739</v>
      </c>
      <c r="M39" s="22">
        <f t="shared" si="40"/>
        <v>-41.103518726028859</v>
      </c>
      <c r="N39" s="22">
        <f t="shared" si="40"/>
        <v>-41.158439179125928</v>
      </c>
      <c r="O39" s="22">
        <f t="shared" si="40"/>
        <v>-41.219269722204444</v>
      </c>
      <c r="P39" s="22">
        <f t="shared" si="40"/>
        <v>-41.285814875942243</v>
      </c>
      <c r="Q39" s="22">
        <f t="shared" si="40"/>
        <v>-41.35788388571229</v>
      </c>
      <c r="R39" s="22">
        <f t="shared" si="40"/>
        <v>-41.435290619246715</v>
      </c>
      <c r="S39" s="22">
        <f t="shared" si="40"/>
        <v>-41.517853466406862</v>
      </c>
      <c r="T39" s="22">
        <f t="shared" si="40"/>
        <v>-41.605395241017142</v>
      </c>
      <c r="U39" s="22">
        <f t="shared" si="40"/>
        <v>-41.697743084721338</v>
      </c>
      <c r="V39" s="22">
        <f t="shared" si="40"/>
        <v>-41.794728372820927</v>
      </c>
      <c r="W39" s="22">
        <f t="shared" si="40"/>
        <v>-41.896186622055524</v>
      </c>
      <c r="X39" s="22">
        <f t="shared" si="40"/>
        <v>-42.001957400286649</v>
      </c>
      <c r="Y39" s="22">
        <f t="shared" si="40"/>
        <v>-42.111884238046429</v>
      </c>
      <c r="Z39" s="22">
        <f t="shared" si="40"/>
        <v>-42.225814541914033</v>
      </c>
      <c r="AA39" s="22">
        <f t="shared" si="40"/>
        <v>-42.343599509682974</v>
      </c>
      <c r="AB39" s="22">
        <f t="shared" si="40"/>
        <v>-42.465094047283365</v>
      </c>
      <c r="AC39" s="22">
        <f t="shared" si="40"/>
        <v>-42.590156687423821</v>
      </c>
      <c r="AD39" s="22">
        <f t="shared" si="40"/>
        <v>-42.718649509918698</v>
      </c>
      <c r="AE39" s="22">
        <f t="shared" si="40"/>
        <v>-42.850438063666303</v>
      </c>
      <c r="AF39" s="22">
        <f t="shared" si="40"/>
        <v>-42.985391290245403</v>
      </c>
      <c r="AG39" s="22">
        <f t="shared" si="40"/>
        <v>-43.12338144909711</v>
      </c>
      <c r="AH39" s="22">
        <f t="shared" si="40"/>
        <v>-43.264284044260314</v>
      </c>
      <c r="AI39" s="22">
        <f t="shared" si="40"/>
        <v>-43.407977752629563</v>
      </c>
      <c r="AJ39" s="22">
        <f t="shared" si="40"/>
        <v>-43.554344353704579</v>
      </c>
      <c r="AK39" s="22">
        <f t="shared" si="40"/>
        <v>-43.703268660801228</v>
      </c>
      <c r="AL39" s="22">
        <f t="shared" si="40"/>
        <v>-43.854638453694861</v>
      </c>
      <c r="AM39" s="22">
        <f t="shared" si="40"/>
        <v>-44.008344412666773</v>
      </c>
      <c r="AN39" s="22">
        <f t="shared" si="40"/>
        <v>-44.164280053925765</v>
      </c>
      <c r="AO39" s="22">
        <f t="shared" si="40"/>
        <v>-44.322341666376857</v>
      </c>
      <c r="AP39" s="22">
        <f t="shared" si="40"/>
        <v>-44.48242824971009</v>
      </c>
      <c r="AQ39" s="22">
        <f t="shared" si="40"/>
        <v>-44.644441453782754</v>
      </c>
      <c r="AR39" s="22">
        <f t="shared" si="40"/>
        <v>-44.808285519268878</v>
      </c>
      <c r="AS39" s="22">
        <f t="shared" si="40"/>
        <v>-44.973867219550357</v>
      </c>
      <c r="AT39" s="22">
        <f t="shared" si="40"/>
        <v>-45.141095803824705</v>
      </c>
      <c r="AU39" s="22">
        <f t="shared" si="40"/>
        <v>-45.309882941404794</v>
      </c>
      <c r="AV39" s="22">
        <f t="shared" si="40"/>
        <v>-45.480142667186414</v>
      </c>
      <c r="AW39" s="22">
        <f t="shared" si="40"/>
        <v>-45.651791328260131</v>
      </c>
      <c r="AX39" s="22">
        <f t="shared" si="40"/>
        <v>-45.8247475316441</v>
      </c>
      <c r="AY39" s="22">
        <f t="shared" si="40"/>
        <v>-45.998932093115428</v>
      </c>
      <c r="AZ39" s="22">
        <f t="shared" si="40"/>
        <v>-46.174267987117489</v>
      </c>
      <c r="BA39" s="22">
        <f t="shared" si="40"/>
        <v>-46.350680297721581</v>
      </c>
      <c r="BB39" s="22">
        <f t="shared" si="40"/>
        <v>-46.528096170621581</v>
      </c>
      <c r="BC39" s="22">
        <f t="shared" si="40"/>
        <v>-46.706444766140457</v>
      </c>
      <c r="BD39" s="22">
        <f t="shared" si="40"/>
        <v>-46.885657213228363</v>
      </c>
      <c r="BE39" s="22">
        <f t="shared" si="40"/>
        <v>-47.065666564431844</v>
      </c>
      <c r="BF39" s="22">
        <f t="shared" si="40"/>
        <v>-47.246407751814857</v>
      </c>
      <c r="BG39" s="22">
        <f t="shared" si="40"/>
        <v>-47.427817543811798</v>
      </c>
      <c r="BH39" s="22">
        <f t="shared" si="40"/>
        <v>-47.609834502994019</v>
      </c>
      <c r="BI39" s="22">
        <f t="shared" si="40"/>
        <v>-47.792398944730905</v>
      </c>
      <c r="BJ39" s="22">
        <f t="shared" si="40"/>
        <v>-47.975452896727589</v>
      </c>
      <c r="BK39" s="22">
        <f t="shared" si="40"/>
        <v>-48.158940059421276</v>
      </c>
      <c r="BL39" s="22">
        <f t="shared" si="40"/>
        <v>-48.342805767218763</v>
      </c>
      <c r="BM39" s="22">
        <f t="shared" si="40"/>
        <v>-48.526996950558029</v>
      </c>
      <c r="BN39" s="22">
        <f t="shared" si="40"/>
        <v>-48.711462098776977</v>
      </c>
      <c r="BO39" s="22">
        <f t="shared" si="40"/>
        <v>-48.896151223773131</v>
      </c>
      <c r="BP39" s="22">
        <f t="shared" si="40"/>
        <v>-49.081015824437877</v>
      </c>
      <c r="BQ39" s="22">
        <f t="shared" si="40"/>
        <v>-49.266008851849541</v>
      </c>
      <c r="BR39" s="22">
        <f t="shared" si="40"/>
        <v>-49.451084675209806</v>
      </c>
      <c r="BS39" s="22">
        <f t="shared" ref="BS39:CL39" si="41">PV($F11,BS$9,1,0)+(PV($G$6,84-BS$9,1,0)/($G$6+1)^BS$9)</f>
        <v>-49.636199048508431</v>
      </c>
      <c r="BT39" s="22">
        <f t="shared" si="41"/>
        <v>-49.82130907790102</v>
      </c>
      <c r="BU39" s="22">
        <f t="shared" si="41"/>
        <v>-50.006373189785599</v>
      </c>
      <c r="BV39" s="22">
        <f t="shared" si="41"/>
        <v>-50.191351099563661</v>
      </c>
      <c r="BW39" s="22">
        <f t="shared" si="41"/>
        <v>-50.376203781071325</v>
      </c>
      <c r="BX39" s="22">
        <f t="shared" si="41"/>
        <v>-50.56089343666752</v>
      </c>
      <c r="BY39" s="22">
        <f t="shared" si="41"/>
        <v>-50.745383467964942</v>
      </c>
      <c r="BZ39" s="22">
        <f t="shared" si="41"/>
        <v>-50.92963844719138</v>
      </c>
      <c r="CA39" s="22">
        <f t="shared" si="41"/>
        <v>-51.11362408916785</v>
      </c>
      <c r="CB39" s="22">
        <f t="shared" si="41"/>
        <v>-51.297307223891345</v>
      </c>
      <c r="CC39" s="22">
        <f t="shared" si="41"/>
        <v>-51.480655769709415</v>
      </c>
      <c r="CD39" s="22">
        <f t="shared" si="41"/>
        <v>-51.663638707074696</v>
      </c>
      <c r="CE39" s="22">
        <f t="shared" si="41"/>
        <v>-51.846226052867337</v>
      </c>
      <c r="CF39" s="22">
        <f t="shared" si="41"/>
        <v>-52.02838883527361</v>
      </c>
      <c r="CG39" s="22">
        <f t="shared" si="41"/>
        <v>-52.210099069209349</v>
      </c>
      <c r="CH39" s="22">
        <f t="shared" si="41"/>
        <v>-52.391329732276965</v>
      </c>
      <c r="CI39" s="22">
        <f t="shared" si="41"/>
        <v>-52.572054741245005</v>
      </c>
      <c r="CJ39" s="22">
        <f t="shared" si="41"/>
        <v>-52.752248929039553</v>
      </c>
      <c r="CK39" s="22">
        <f t="shared" si="41"/>
        <v>-52.931888022236805</v>
      </c>
      <c r="CL39" s="22">
        <f t="shared" si="41"/>
        <v>-53.110948619046631</v>
      </c>
      <c r="CM39" s="22"/>
    </row>
    <row r="40" spans="7:91" hidden="1" x14ac:dyDescent="0.25">
      <c r="G40" s="22">
        <f t="shared" ref="G40:BR40" si="42">PV($F12,G$9,1,0)+(PV($G$6,84-G$9,1,0)/($G$6+1)^G$9)</f>
        <v>-40.909481523234184</v>
      </c>
      <c r="H40" s="22">
        <f t="shared" si="42"/>
        <v>-40.92417228926697</v>
      </c>
      <c r="I40" s="22">
        <f t="shared" si="42"/>
        <v>-40.945865030398885</v>
      </c>
      <c r="J40" s="22">
        <f t="shared" si="42"/>
        <v>-40.974338079827973</v>
      </c>
      <c r="K40" s="22">
        <f t="shared" si="42"/>
        <v>-41.009375077644115</v>
      </c>
      <c r="L40" s="22">
        <f t="shared" si="42"/>
        <v>-41.050764856155631</v>
      </c>
      <c r="M40" s="22">
        <f t="shared" si="42"/>
        <v>-41.098301327575484</v>
      </c>
      <c r="N40" s="22">
        <f t="shared" si="42"/>
        <v>-41.151783374019601</v>
      </c>
      <c r="O40" s="22">
        <f t="shared" si="42"/>
        <v>-41.211014739771088</v>
      </c>
      <c r="P40" s="22">
        <f t="shared" si="42"/>
        <v>-41.275803925764706</v>
      </c>
      <c r="Q40" s="22">
        <f t="shared" si="42"/>
        <v>-41.345964086247207</v>
      </c>
      <c r="R40" s="22">
        <f t="shared" si="42"/>
        <v>-41.421312927569865</v>
      </c>
      <c r="S40" s="22">
        <f t="shared" si="42"/>
        <v>-41.501672609070368</v>
      </c>
      <c r="T40" s="22">
        <f t="shared" si="42"/>
        <v>-41.586869646002</v>
      </c>
      <c r="U40" s="22">
        <f t="shared" si="42"/>
        <v>-41.67673481446927</v>
      </c>
      <c r="V40" s="22">
        <f t="shared" si="42"/>
        <v>-41.771103058329331</v>
      </c>
      <c r="W40" s="22">
        <f t="shared" si="42"/>
        <v>-41.869813398020099</v>
      </c>
      <c r="X40" s="22">
        <f t="shared" si="42"/>
        <v>-41.972708841275747</v>
      </c>
      <c r="Y40" s="22">
        <f t="shared" si="42"/>
        <v>-42.079636295692268</v>
      </c>
      <c r="Z40" s="22">
        <f t="shared" si="42"/>
        <v>-42.190446483105355</v>
      </c>
      <c r="AA40" s="22">
        <f t="shared" si="42"/>
        <v>-42.30499385574447</v>
      </c>
      <c r="AB40" s="22">
        <f t="shared" si="42"/>
        <v>-42.42313651412708</v>
      </c>
      <c r="AC40" s="22">
        <f t="shared" si="42"/>
        <v>-42.544736126658307</v>
      </c>
      <c r="AD40" s="22">
        <f t="shared" si="42"/>
        <v>-42.669657850901231</v>
      </c>
      <c r="AE40" s="22">
        <f t="shared" si="42"/>
        <v>-42.797770256484704</v>
      </c>
      <c r="AF40" s="22">
        <f t="shared" si="42"/>
        <v>-42.928945249615111</v>
      </c>
      <c r="AG40" s="22">
        <f t="shared" si="42"/>
        <v>-43.063057999160129</v>
      </c>
      <c r="AH40" s="22">
        <f t="shared" si="42"/>
        <v>-43.199986864272532</v>
      </c>
      <c r="AI40" s="22">
        <f t="shared" si="42"/>
        <v>-43.339613323523174</v>
      </c>
      <c r="AJ40" s="22">
        <f t="shared" si="42"/>
        <v>-43.481821905512483</v>
      </c>
      <c r="AK40" s="22">
        <f t="shared" si="42"/>
        <v>-43.626500120930636</v>
      </c>
      <c r="AL40" s="22">
        <f t="shared" si="42"/>
        <v>-43.773538396037239</v>
      </c>
      <c r="AM40" s="22">
        <f t="shared" si="42"/>
        <v>-43.92283000753185</v>
      </c>
      <c r="AN40" s="22">
        <f t="shared" si="42"/>
        <v>-44.074271018787016</v>
      </c>
      <c r="AO40" s="22">
        <f t="shared" si="42"/>
        <v>-44.227760217416417</v>
      </c>
      <c r="AP40" s="22">
        <f t="shared" si="42"/>
        <v>-44.383199054151099</v>
      </c>
      <c r="AQ40" s="22">
        <f t="shared" si="42"/>
        <v>-44.540491582997298</v>
      </c>
      <c r="AR40" s="22">
        <f t="shared" si="42"/>
        <v>-44.699544402649906</v>
      </c>
      <c r="AS40" s="22">
        <f t="shared" si="42"/>
        <v>-44.860266599136054</v>
      </c>
      <c r="AT40" s="22">
        <f t="shared" si="42"/>
        <v>-45.022569689663996</v>
      </c>
      <c r="AU40" s="22">
        <f t="shared" si="42"/>
        <v>-45.186367567652866</v>
      </c>
      <c r="AV40" s="22">
        <f t="shared" si="42"/>
        <v>-45.351576448919246</v>
      </c>
      <c r="AW40" s="22">
        <f t="shared" si="42"/>
        <v>-45.51811481899712</v>
      </c>
      <c r="AX40" s="22">
        <f t="shared" si="42"/>
        <v>-45.685903381568259</v>
      </c>
      <c r="AY40" s="22">
        <f t="shared" si="42"/>
        <v>-45.854865007980436</v>
      </c>
      <c r="AZ40" s="22">
        <f t="shared" si="42"/>
        <v>-46.024924687831295</v>
      </c>
      <c r="BA40" s="22">
        <f t="shared" si="42"/>
        <v>-46.196009480596473</v>
      </c>
      <c r="BB40" s="22">
        <f t="shared" si="42"/>
        <v>-46.368048468280335</v>
      </c>
      <c r="BC40" s="22">
        <f t="shared" si="42"/>
        <v>-46.54097270906896</v>
      </c>
      <c r="BD40" s="22">
        <f t="shared" si="42"/>
        <v>-46.714715191964579</v>
      </c>
      <c r="BE40" s="22">
        <f t="shared" si="42"/>
        <v>-46.889210792381832</v>
      </c>
      <c r="BF40" s="22">
        <f t="shared" si="42"/>
        <v>-47.064396228685951</v>
      </c>
      <c r="BG40" s="22">
        <f t="shared" si="42"/>
        <v>-47.240210019653915</v>
      </c>
      <c r="BH40" s="22">
        <f t="shared" si="42"/>
        <v>-47.416592442839587</v>
      </c>
      <c r="BI40" s="22">
        <f t="shared" si="42"/>
        <v>-47.593485493824474</v>
      </c>
      <c r="BJ40" s="22">
        <f t="shared" si="42"/>
        <v>-47.770832846336027</v>
      </c>
      <c r="BK40" s="22">
        <f t="shared" si="42"/>
        <v>-47.948579813215844</v>
      </c>
      <c r="BL40" s="22">
        <f t="shared" si="42"/>
        <v>-48.126673308220127</v>
      </c>
      <c r="BM40" s="22">
        <f t="shared" si="42"/>
        <v>-48.305061808635848</v>
      </c>
      <c r="BN40" s="22">
        <f t="shared" si="42"/>
        <v>-48.48369531869551</v>
      </c>
      <c r="BO40" s="22">
        <f t="shared" si="42"/>
        <v>-48.66252533377444</v>
      </c>
      <c r="BP40" s="22">
        <f t="shared" si="42"/>
        <v>-48.841504805354468</v>
      </c>
      <c r="BQ40" s="22">
        <f t="shared" si="42"/>
        <v>-49.020588106738394</v>
      </c>
      <c r="BR40" s="22">
        <f t="shared" si="42"/>
        <v>-49.199730999499657</v>
      </c>
      <c r="BS40" s="22">
        <f t="shared" ref="BS40:CL40" si="43">PV($F12,BS$9,1,0)+(PV($G$6,84-BS$9,1,0)/($G$6+1)^BS$9)</f>
        <v>-49.378890600652561</v>
      </c>
      <c r="BT40" s="22">
        <f t="shared" si="43"/>
        <v>-49.558025350527714</v>
      </c>
      <c r="BU40" s="22">
        <f t="shared" si="43"/>
        <v>-49.737094981338778</v>
      </c>
      <c r="BV40" s="22">
        <f t="shared" si="43"/>
        <v>-49.916060486425735</v>
      </c>
      <c r="BW40" s="22">
        <f t="shared" si="43"/>
        <v>-50.09488409016155</v>
      </c>
      <c r="BX40" s="22">
        <f t="shared" si="43"/>
        <v>-50.273529218507697</v>
      </c>
      <c r="BY40" s="22">
        <f t="shared" si="43"/>
        <v>-50.451960470206046</v>
      </c>
      <c r="BZ40" s="22">
        <f t="shared" si="43"/>
        <v>-50.630143588593334</v>
      </c>
      <c r="CA40" s="22">
        <f t="shared" si="43"/>
        <v>-50.808045434025978</v>
      </c>
      <c r="CB40" s="22">
        <f t="shared" si="43"/>
        <v>-50.985633956902205</v>
      </c>
      <c r="CC40" s="22">
        <f t="shared" si="43"/>
        <v>-51.162878171269483</v>
      </c>
      <c r="CD40" s="22">
        <f t="shared" si="43"/>
        <v>-51.339748129005017</v>
      </c>
      <c r="CE40" s="22">
        <f t="shared" si="43"/>
        <v>-51.516214894557642</v>
      </c>
      <c r="CF40" s="22">
        <f t="shared" si="43"/>
        <v>-51.692250520239341</v>
      </c>
      <c r="CG40" s="22">
        <f t="shared" si="43"/>
        <v>-51.867828022055249</v>
      </c>
      <c r="CH40" s="22">
        <f t="shared" si="43"/>
        <v>-52.042921356060774</v>
      </c>
      <c r="CI40" s="22">
        <f t="shared" si="43"/>
        <v>-52.217505395235214</v>
      </c>
      <c r="CJ40" s="22">
        <f t="shared" si="43"/>
        <v>-52.391555906860901</v>
      </c>
      <c r="CK40" s="22">
        <f t="shared" si="43"/>
        <v>-52.56504953039768</v>
      </c>
      <c r="CL40" s="22">
        <f t="shared" si="43"/>
        <v>-52.737963755842152</v>
      </c>
      <c r="CM40" s="22"/>
    </row>
    <row r="41" spans="7:91" hidden="1" x14ac:dyDescent="0.25">
      <c r="G41" s="22">
        <f t="shared" ref="G41:BR41" si="44">PV($F13,G$9,1,0)+(PV($G$6,84-G$9,1,0)/($G$6+1)^G$9)</f>
        <v>-40.908993551731719</v>
      </c>
      <c r="H41" s="22">
        <f t="shared" si="44"/>
        <v>-40.922720185322468</v>
      </c>
      <c r="I41" s="22">
        <f t="shared" si="44"/>
        <v>-40.942984229214865</v>
      </c>
      <c r="J41" s="22">
        <f t="shared" si="44"/>
        <v>-40.969575401789115</v>
      </c>
      <c r="K41" s="22">
        <f t="shared" si="44"/>
        <v>-41.002288520765518</v>
      </c>
      <c r="L41" s="22">
        <f t="shared" si="44"/>
        <v>-41.040923391887972</v>
      </c>
      <c r="M41" s="22">
        <f t="shared" si="44"/>
        <v>-41.085284699915974</v>
      </c>
      <c r="N41" s="22">
        <f t="shared" si="44"/>
        <v>-41.135181901878902</v>
      </c>
      <c r="O41" s="22">
        <f t="shared" si="44"/>
        <v>-41.19042912254632</v>
      </c>
      <c r="P41" s="22">
        <f t="shared" si="44"/>
        <v>-41.250845052070432</v>
      </c>
      <c r="Q41" s="22">
        <f t="shared" si="44"/>
        <v>-41.316252845756004</v>
      </c>
      <c r="R41" s="22">
        <f t="shared" si="44"/>
        <v>-41.386480025915517</v>
      </c>
      <c r="S41" s="22">
        <f t="shared" si="44"/>
        <v>-41.461358385766744</v>
      </c>
      <c r="T41" s="22">
        <f t="shared" si="44"/>
        <v>-41.540723895332192</v>
      </c>
      <c r="U41" s="22">
        <f t="shared" si="44"/>
        <v>-41.624416609299274</v>
      </c>
      <c r="V41" s="22">
        <f t="shared" si="44"/>
        <v>-41.712280576802172</v>
      </c>
      <c r="W41" s="22">
        <f t="shared" si="44"/>
        <v>-41.804163753085959</v>
      </c>
      <c r="X41" s="22">
        <f t="shared" si="44"/>
        <v>-41.899917913015386</v>
      </c>
      <c r="Y41" s="22">
        <f t="shared" si="44"/>
        <v>-41.99939856639056</v>
      </c>
      <c r="Z41" s="22">
        <f t="shared" si="44"/>
        <v>-42.102464875033405</v>
      </c>
      <c r="AA41" s="22">
        <f t="shared" si="44"/>
        <v>-42.208979571608445</v>
      </c>
      <c r="AB41" s="22">
        <f t="shared" si="44"/>
        <v>-42.318808880143379</v>
      </c>
      <c r="AC41" s="22">
        <f t="shared" si="44"/>
        <v>-42.431822438214425</v>
      </c>
      <c r="AD41" s="22">
        <f t="shared" si="44"/>
        <v>-42.547893220763243</v>
      </c>
      <c r="AE41" s="22">
        <f t="shared" si="44"/>
        <v>-42.666897465511695</v>
      </c>
      <c r="AF41" s="22">
        <f t="shared" si="44"/>
        <v>-42.788714599942679</v>
      </c>
      <c r="AG41" s="22">
        <f t="shared" si="44"/>
        <v>-42.913227169814633</v>
      </c>
      <c r="AH41" s="22">
        <f t="shared" si="44"/>
        <v>-43.040320769179075</v>
      </c>
      <c r="AI41" s="22">
        <f t="shared" si="44"/>
        <v>-43.16988397187022</v>
      </c>
      <c r="AJ41" s="22">
        <f t="shared" si="44"/>
        <v>-43.301808264437057</v>
      </c>
      <c r="AK41" s="22">
        <f t="shared" si="44"/>
        <v>-43.43598798048825</v>
      </c>
      <c r="AL41" s="22">
        <f t="shared" si="44"/>
        <v>-43.572320236421625</v>
      </c>
      <c r="AM41" s="22">
        <f t="shared" si="44"/>
        <v>-43.710704868509325</v>
      </c>
      <c r="AN41" s="22">
        <f t="shared" si="44"/>
        <v>-43.851044371311787</v>
      </c>
      <c r="AO41" s="22">
        <f t="shared" si="44"/>
        <v>-43.993243837392903</v>
      </c>
      <c r="AP41" s="22">
        <f t="shared" si="44"/>
        <v>-44.137210898310208</v>
      </c>
      <c r="AQ41" s="22">
        <f t="shared" si="44"/>
        <v>-44.282855666853877</v>
      </c>
      <c r="AR41" s="22">
        <f t="shared" si="44"/>
        <v>-44.43009068050921</v>
      </c>
      <c r="AS41" s="22">
        <f t="shared" si="44"/>
        <v>-44.578830846117519</v>
      </c>
      <c r="AT41" s="22">
        <f t="shared" si="44"/>
        <v>-44.728993385711121</v>
      </c>
      <c r="AU41" s="22">
        <f t="shared" si="44"/>
        <v>-44.880497783498228</v>
      </c>
      <c r="AV41" s="22">
        <f t="shared" si="44"/>
        <v>-45.033265733974439</v>
      </c>
      <c r="AW41" s="22">
        <f t="shared" si="44"/>
        <v>-45.187221091137715</v>
      </c>
      <c r="AX41" s="22">
        <f t="shared" si="44"/>
        <v>-45.342289818784351</v>
      </c>
      <c r="AY41" s="22">
        <f t="shared" si="44"/>
        <v>-45.498399941863568</v>
      </c>
      <c r="AZ41" s="22">
        <f t="shared" si="44"/>
        <v>-45.655481498869548</v>
      </c>
      <c r="BA41" s="22">
        <f t="shared" si="44"/>
        <v>-45.81346649524906</v>
      </c>
      <c r="BB41" s="22">
        <f t="shared" si="44"/>
        <v>-45.9722888578045</v>
      </c>
      <c r="BC41" s="22">
        <f t="shared" si="44"/>
        <v>-46.131884390071328</v>
      </c>
      <c r="BD41" s="22">
        <f t="shared" si="44"/>
        <v>-46.292190728650411</v>
      </c>
      <c r="BE41" s="22">
        <f t="shared" si="44"/>
        <v>-46.453147300475408</v>
      </c>
      <c r="BF41" s="22">
        <f t="shared" si="44"/>
        <v>-46.614695280996131</v>
      </c>
      <c r="BG41" s="22">
        <f t="shared" si="44"/>
        <v>-46.776777553258917</v>
      </c>
      <c r="BH41" s="22">
        <f t="shared" si="44"/>
        <v>-46.939338667865862</v>
      </c>
      <c r="BI41" s="22">
        <f t="shared" si="44"/>
        <v>-47.102324803794374</v>
      </c>
      <c r="BJ41" s="22">
        <f t="shared" si="44"/>
        <v>-47.265683730060061</v>
      </c>
      <c r="BK41" s="22">
        <f t="shared" si="44"/>
        <v>-47.429364768204742</v>
      </c>
      <c r="BL41" s="22">
        <f t="shared" si="44"/>
        <v>-47.593318755593387</v>
      </c>
      <c r="BM41" s="22">
        <f t="shared" si="44"/>
        <v>-47.757498009502726</v>
      </c>
      <c r="BN41" s="22">
        <f t="shared" si="44"/>
        <v>-47.921856291985655</v>
      </c>
      <c r="BO41" s="22">
        <f t="shared" si="44"/>
        <v>-48.08634877549504</v>
      </c>
      <c r="BP41" s="22">
        <f t="shared" si="44"/>
        <v>-48.250932009251635</v>
      </c>
      <c r="BQ41" s="22">
        <f t="shared" si="44"/>
        <v>-48.415563886340379</v>
      </c>
      <c r="BR41" s="22">
        <f t="shared" si="44"/>
        <v>-48.580203611520425</v>
      </c>
      <c r="BS41" s="22">
        <f t="shared" ref="BS41:CL41" si="45">PV($F13,BS$9,1,0)+(PV($G$6,84-BS$9,1,0)/($G$6+1)^BS$9)</f>
        <v>-48.744811669733757</v>
      </c>
      <c r="BT41" s="22">
        <f t="shared" si="45"/>
        <v>-48.909349795298269</v>
      </c>
      <c r="BU41" s="22">
        <f t="shared" si="45"/>
        <v>-49.073780941770856</v>
      </c>
      <c r="BV41" s="22">
        <f t="shared" si="45"/>
        <v>-49.238069252467056</v>
      </c>
      <c r="BW41" s="22">
        <f t="shared" si="45"/>
        <v>-49.402180031623068</v>
      </c>
      <c r="BX41" s="22">
        <f t="shared" si="45"/>
        <v>-49.566079716187438</v>
      </c>
      <c r="BY41" s="22">
        <f t="shared" si="45"/>
        <v>-49.72973584822887</v>
      </c>
      <c r="BZ41" s="22">
        <f t="shared" si="45"/>
        <v>-49.893117047947747</v>
      </c>
      <c r="CA41" s="22">
        <f t="shared" si="45"/>
        <v>-50.056192987278479</v>
      </c>
      <c r="CB41" s="22">
        <f t="shared" si="45"/>
        <v>-50.218934364070783</v>
      </c>
      <c r="CC41" s="22">
        <f t="shared" si="45"/>
        <v>-50.381312876837498</v>
      </c>
      <c r="CD41" s="22">
        <f t="shared" si="45"/>
        <v>-50.543301200057456</v>
      </c>
      <c r="CE41" s="22">
        <f t="shared" si="45"/>
        <v>-50.704872960021582</v>
      </c>
      <c r="CF41" s="22">
        <f t="shared" si="45"/>
        <v>-50.866002711211223</v>
      </c>
      <c r="CG41" s="22">
        <f t="shared" si="45"/>
        <v>-51.026665913197206</v>
      </c>
      <c r="CH41" s="22">
        <f t="shared" si="45"/>
        <v>-51.186838908049282</v>
      </c>
      <c r="CI41" s="22">
        <f t="shared" si="45"/>
        <v>-51.346498898244796</v>
      </c>
      <c r="CJ41" s="22">
        <f t="shared" si="45"/>
        <v>-51.505623925066551</v>
      </c>
      <c r="CK41" s="22">
        <f t="shared" si="45"/>
        <v>-51.664192847479335</v>
      </c>
      <c r="CL41" s="22">
        <f t="shared" si="45"/>
        <v>-51.82218532147548</v>
      </c>
      <c r="CM41" s="22"/>
    </row>
    <row r="42" spans="7:91" hidden="1" x14ac:dyDescent="0.25">
      <c r="G42" s="22">
        <f t="shared" ref="G42:BR42" si="46">PV($F14,G$9,1,0)+(PV($G$6,84-G$9,1,0)/($G$6+1)^G$9)</f>
        <v>-40.908506061938532</v>
      </c>
      <c r="H42" s="22">
        <f t="shared" si="46"/>
        <v>-40.921269990374228</v>
      </c>
      <c r="I42" s="22">
        <f t="shared" si="46"/>
        <v>-40.940108156360047</v>
      </c>
      <c r="J42" s="22">
        <f t="shared" si="46"/>
        <v>-40.964822092957782</v>
      </c>
      <c r="K42" s="22">
        <f t="shared" si="46"/>
        <v>-40.995218208471712</v>
      </c>
      <c r="L42" s="22">
        <f t="shared" si="46"/>
        <v>-41.031107678902693</v>
      </c>
      <c r="M42" s="22">
        <f t="shared" si="46"/>
        <v>-41.072306342651409</v>
      </c>
      <c r="N42" s="22">
        <f t="shared" si="46"/>
        <v>-41.118634597425327</v>
      </c>
      <c r="O42" s="22">
        <f t="shared" si="46"/>
        <v>-41.169917299304124</v>
      </c>
      <c r="P42" s="22">
        <f t="shared" si="46"/>
        <v>-41.225983663920339</v>
      </c>
      <c r="Q42" s="22">
        <f t="shared" si="46"/>
        <v>-41.286667169711691</v>
      </c>
      <c r="R42" s="22">
        <f t="shared" si="46"/>
        <v>-41.351805463203441</v>
      </c>
      <c r="S42" s="22">
        <f t="shared" si="46"/>
        <v>-41.421240266279099</v>
      </c>
      <c r="T42" s="22">
        <f t="shared" si="46"/>
        <v>-41.494817285399449</v>
      </c>
      <c r="U42" s="22">
        <f t="shared" si="46"/>
        <v>-41.572386122729732</v>
      </c>
      <c r="V42" s="22">
        <f t="shared" si="46"/>
        <v>-41.65380018913676</v>
      </c>
      <c r="W42" s="22">
        <f t="shared" si="46"/>
        <v>-41.738916619017253</v>
      </c>
      <c r="X42" s="22">
        <f t="shared" si="46"/>
        <v>-41.827596186920537</v>
      </c>
      <c r="Y42" s="22">
        <f t="shared" si="46"/>
        <v>-41.919703225928785</v>
      </c>
      <c r="Z42" s="22">
        <f t="shared" si="46"/>
        <v>-42.01510554775907</v>
      </c>
      <c r="AA42" s="22">
        <f t="shared" si="46"/>
        <v>-42.113674364552153</v>
      </c>
      <c r="AB42" s="22">
        <f t="shared" si="46"/>
        <v>-42.215284212313385</v>
      </c>
      <c r="AC42" s="22">
        <f t="shared" si="46"/>
        <v>-42.319812875972104</v>
      </c>
      <c r="AD42" s="22">
        <f t="shared" si="46"/>
        <v>-42.427141316026706</v>
      </c>
      <c r="AE42" s="22">
        <f t="shared" si="46"/>
        <v>-42.537153596742456</v>
      </c>
      <c r="AF42" s="22">
        <f t="shared" si="46"/>
        <v>-42.64973681587086</v>
      </c>
      <c r="AG42" s="22">
        <f t="shared" si="46"/>
        <v>-42.764781035859052</v>
      </c>
      <c r="AH42" s="22">
        <f t="shared" si="46"/>
        <v>-42.882179216519006</v>
      </c>
      <c r="AI42" s="22">
        <f t="shared" si="46"/>
        <v>-43.001827149126484</v>
      </c>
      <c r="AJ42" s="22">
        <f t="shared" si="46"/>
        <v>-43.123623391920631</v>
      </c>
      <c r="AK42" s="22">
        <f t="shared" si="46"/>
        <v>-43.247469206975268</v>
      </c>
      <c r="AL42" s="22">
        <f t="shared" si="46"/>
        <v>-43.373268498414092</v>
      </c>
      <c r="AM42" s="22">
        <f t="shared" si="46"/>
        <v>-43.500927751941973</v>
      </c>
      <c r="AN42" s="22">
        <f t="shared" si="46"/>
        <v>-43.630355975665424</v>
      </c>
      <c r="AO42" s="22">
        <f t="shared" si="46"/>
        <v>-43.761464642175817</v>
      </c>
      <c r="AP42" s="22">
        <f t="shared" si="46"/>
        <v>-43.894167631869394</v>
      </c>
      <c r="AQ42" s="22">
        <f t="shared" si="46"/>
        <v>-44.028381177478671</v>
      </c>
      <c r="AR42" s="22">
        <f t="shared" si="46"/>
        <v>-44.164023809790379</v>
      </c>
      <c r="AS42" s="22">
        <f t="shared" si="46"/>
        <v>-44.301016304525348</v>
      </c>
      <c r="AT42" s="22">
        <f t="shared" si="46"/>
        <v>-44.439281630356788</v>
      </c>
      <c r="AU42" s="22">
        <f t="shared" si="46"/>
        <v>-44.578744898043169</v>
      </c>
      <c r="AV42" s="22">
        <f t="shared" si="46"/>
        <v>-44.719333310653049</v>
      </c>
      <c r="AW42" s="22">
        <f t="shared" si="46"/>
        <v>-44.860976114859056</v>
      </c>
      <c r="AX42" s="22">
        <f t="shared" si="46"/>
        <v>-45.003604553279331</v>
      </c>
      <c r="AY42" s="22">
        <f t="shared" si="46"/>
        <v>-45.14715181784446</v>
      </c>
      <c r="AZ42" s="22">
        <f t="shared" si="46"/>
        <v>-45.291553004169096</v>
      </c>
      <c r="BA42" s="22">
        <f t="shared" si="46"/>
        <v>-45.436745066907235</v>
      </c>
      <c r="BB42" s="22">
        <f t="shared" si="46"/>
        <v>-45.582666776071065</v>
      </c>
      <c r="BC42" s="22">
        <f t="shared" si="46"/>
        <v>-45.729258674293241</v>
      </c>
      <c r="BD42" s="22">
        <f t="shared" si="46"/>
        <v>-45.876463035013288</v>
      </c>
      <c r="BE42" s="22">
        <f t="shared" si="46"/>
        <v>-46.024223821568953</v>
      </c>
      <c r="BF42" s="22">
        <f t="shared" si="46"/>
        <v>-46.172486647173685</v>
      </c>
      <c r="BG42" s="22">
        <f t="shared" si="46"/>
        <v>-46.321198735762032</v>
      </c>
      <c r="BH42" s="22">
        <f t="shared" si="46"/>
        <v>-46.470308883684901</v>
      </c>
      <c r="BI42" s="22">
        <f t="shared" si="46"/>
        <v>-46.619767422236947</v>
      </c>
      <c r="BJ42" s="22">
        <f t="shared" si="46"/>
        <v>-46.769526180999222</v>
      </c>
      <c r="BK42" s="22">
        <f t="shared" si="46"/>
        <v>-46.91953845197957</v>
      </c>
      <c r="BL42" s="22">
        <f t="shared" si="46"/>
        <v>-47.069758954534805</v>
      </c>
      <c r="BM42" s="22">
        <f t="shared" si="46"/>
        <v>-47.220143801057958</v>
      </c>
      <c r="BN42" s="22">
        <f t="shared" si="46"/>
        <v>-47.370650463415053</v>
      </c>
      <c r="BO42" s="22">
        <f t="shared" si="46"/>
        <v>-47.521237740115474</v>
      </c>
      <c r="BP42" s="22">
        <f t="shared" si="46"/>
        <v>-47.671865724201034</v>
      </c>
      <c r="BQ42" s="22">
        <f t="shared" si="46"/>
        <v>-47.822495771838383</v>
      </c>
      <c r="BR42" s="22">
        <f t="shared" si="46"/>
        <v>-47.973090471600401</v>
      </c>
      <c r="BS42" s="22">
        <f t="shared" ref="BS42:CL42" si="47">PV($F14,BS$9,1,0)+(PV($G$6,84-BS$9,1,0)/($G$6+1)^BS$9)</f>
        <v>-48.12361361442219</v>
      </c>
      <c r="BT42" s="22">
        <f t="shared" si="47"/>
        <v>-48.274030164217322</v>
      </c>
      <c r="BU42" s="22">
        <f t="shared" si="47"/>
        <v>-48.424306229140861</v>
      </c>
      <c r="BV42" s="22">
        <f t="shared" si="47"/>
        <v>-48.574409033485537</v>
      </c>
      <c r="BW42" s="22">
        <f t="shared" si="47"/>
        <v>-48.724306890197823</v>
      </c>
      <c r="BX42" s="22">
        <f t="shared" si="47"/>
        <v>-48.873969174000983</v>
      </c>
      <c r="BY42" s="22">
        <f t="shared" si="47"/>
        <v>-49.023366295112318</v>
      </c>
      <c r="BZ42" s="22">
        <f t="shared" si="47"/>
        <v>-49.172469673542288</v>
      </c>
      <c r="CA42" s="22">
        <f t="shared" si="47"/>
        <v>-49.321251713963228</v>
      </c>
      <c r="CB42" s="22">
        <f t="shared" si="47"/>
        <v>-49.469685781135773</v>
      </c>
      <c r="CC42" s="22">
        <f t="shared" si="47"/>
        <v>-49.61774617588118</v>
      </c>
      <c r="CD42" s="22">
        <f t="shared" si="47"/>
        <v>-49.765408111588286</v>
      </c>
      <c r="CE42" s="22">
        <f t="shared" si="47"/>
        <v>-49.91264769124362</v>
      </c>
      <c r="CF42" s="22">
        <f t="shared" si="47"/>
        <v>-50.059441884973928</v>
      </c>
      <c r="CG42" s="22">
        <f t="shared" si="47"/>
        <v>-50.205768508090102</v>
      </c>
      <c r="CH42" s="22">
        <f t="shared" si="47"/>
        <v>-50.35160619962214</v>
      </c>
      <c r="CI42" s="22">
        <f t="shared" si="47"/>
        <v>-50.496934401334684</v>
      </c>
      <c r="CJ42" s="22">
        <f t="shared" si="47"/>
        <v>-50.64173333721304</v>
      </c>
      <c r="CK42" s="22">
        <f t="shared" si="47"/>
        <v>-50.785983993409744</v>
      </c>
      <c r="CL42" s="22">
        <f t="shared" si="47"/>
        <v>-50.929668098641976</v>
      </c>
      <c r="CM42" s="22"/>
    </row>
    <row r="43" spans="7:91" hidden="1" x14ac:dyDescent="0.25">
      <c r="G43" s="22">
        <f t="shared" ref="G43:BR43" si="48">PV($F15,G$9,1,0)+(PV($G$6,84-G$9,1,0)/($G$6+1)^G$9)</f>
        <v>-40.90831120074013</v>
      </c>
      <c r="H43" s="22">
        <f t="shared" si="48"/>
        <v>-40.920690446123189</v>
      </c>
      <c r="I43" s="22">
        <f t="shared" si="48"/>
        <v>-40.93895904880187</v>
      </c>
      <c r="J43" s="22">
        <f t="shared" si="48"/>
        <v>-40.962923387378503</v>
      </c>
      <c r="K43" s="22">
        <f t="shared" si="48"/>
        <v>-40.992394621296711</v>
      </c>
      <c r="L43" s="22">
        <f t="shared" si="48"/>
        <v>-41.027188584926662</v>
      </c>
      <c r="M43" s="22">
        <f t="shared" si="48"/>
        <v>-41.067125683873208</v>
      </c>
      <c r="N43" s="22">
        <f t="shared" si="48"/>
        <v>-41.112030793461592</v>
      </c>
      <c r="O43" s="22">
        <f t="shared" si="48"/>
        <v>-41.161733159356061</v>
      </c>
      <c r="P43" s="22">
        <f t="shared" si="48"/>
        <v>-41.216066300268572</v>
      </c>
      <c r="Q43" s="22">
        <f t="shared" si="48"/>
        <v>-41.274867912714399</v>
      </c>
      <c r="R43" s="22">
        <f t="shared" si="48"/>
        <v>-41.337979777773157</v>
      </c>
      <c r="S43" s="22">
        <f t="shared" si="48"/>
        <v>-41.405247669814521</v>
      </c>
      <c r="T43" s="22">
        <f t="shared" si="48"/>
        <v>-41.476521267148058</v>
      </c>
      <c r="U43" s="22">
        <f t="shared" si="48"/>
        <v>-41.551654064558662</v>
      </c>
      <c r="V43" s="22">
        <f t="shared" si="48"/>
        <v>-41.63050328768815</v>
      </c>
      <c r="W43" s="22">
        <f t="shared" si="48"/>
        <v>-41.712929809226239</v>
      </c>
      <c r="X43" s="22">
        <f t="shared" si="48"/>
        <v>-41.798798066873225</v>
      </c>
      <c r="Y43" s="22">
        <f t="shared" si="48"/>
        <v>-41.887975983038537</v>
      </c>
      <c r="Z43" s="22">
        <f t="shared" si="48"/>
        <v>-41.980334886239511</v>
      </c>
      <c r="AA43" s="22">
        <f t="shared" si="48"/>
        <v>-42.075749434165644</v>
      </c>
      <c r="AB43" s="22">
        <f t="shared" si="48"/>
        <v>-42.174097538374234</v>
      </c>
      <c r="AC43" s="22">
        <f t="shared" si="48"/>
        <v>-42.275260290583937</v>
      </c>
      <c r="AD43" s="22">
        <f t="shared" si="48"/>
        <v>-42.379121890533696</v>
      </c>
      <c r="AE43" s="22">
        <f t="shared" si="48"/>
        <v>-42.485569575374583</v>
      </c>
      <c r="AF43" s="22">
        <f t="shared" si="48"/>
        <v>-42.594493550563662</v>
      </c>
      <c r="AG43" s="22">
        <f t="shared" si="48"/>
        <v>-42.705786922228505</v>
      </c>
      <c r="AH43" s="22">
        <f t="shared" si="48"/>
        <v>-42.819345630972578</v>
      </c>
      <c r="AI43" s="22">
        <f t="shared" si="48"/>
        <v>-42.935068387091761</v>
      </c>
      <c r="AJ43" s="22">
        <f t="shared" si="48"/>
        <v>-43.052856607172913</v>
      </c>
      <c r="AK43" s="22">
        <f t="shared" si="48"/>
        <v>-43.172614352046423</v>
      </c>
      <c r="AL43" s="22">
        <f t="shared" si="48"/>
        <v>-43.294248266064415</v>
      </c>
      <c r="AM43" s="22">
        <f t="shared" si="48"/>
        <v>-43.417667517677828</v>
      </c>
      <c r="AN43" s="22">
        <f t="shared" si="48"/>
        <v>-43.54278374128527</v>
      </c>
      <c r="AO43" s="22">
        <f t="shared" si="48"/>
        <v>-43.669510980327686</v>
      </c>
      <c r="AP43" s="22">
        <f t="shared" si="48"/>
        <v>-43.797765631603085</v>
      </c>
      <c r="AQ43" s="22">
        <f t="shared" si="48"/>
        <v>-43.927466390776232</v>
      </c>
      <c r="AR43" s="22">
        <f t="shared" si="48"/>
        <v>-44.058534199058549</v>
      </c>
      <c r="AS43" s="22">
        <f t="shared" si="48"/>
        <v>-44.190892191034301</v>
      </c>
      <c r="AT43" s="22">
        <f t="shared" si="48"/>
        <v>-44.324465643609173</v>
      </c>
      <c r="AU43" s="22">
        <f t="shared" si="48"/>
        <v>-44.459181926058214</v>
      </c>
      <c r="AV43" s="22">
        <f t="shared" si="48"/>
        <v>-44.594970451150388</v>
      </c>
      <c r="AW43" s="22">
        <f t="shared" si="48"/>
        <v>-44.731762627327527</v>
      </c>
      <c r="AX43" s="22">
        <f t="shared" si="48"/>
        <v>-44.869491811915729</v>
      </c>
      <c r="AY43" s="22">
        <f t="shared" si="48"/>
        <v>-45.00809326534808</v>
      </c>
      <c r="AZ43" s="22">
        <f t="shared" si="48"/>
        <v>-45.147504106377532</v>
      </c>
      <c r="BA43" s="22">
        <f t="shared" si="48"/>
        <v>-45.287663268259593</v>
      </c>
      <c r="BB43" s="22">
        <f t="shared" si="48"/>
        <v>-45.428511455884575</v>
      </c>
      <c r="BC43" s="22">
        <f t="shared" si="48"/>
        <v>-45.569991103839975</v>
      </c>
      <c r="BD43" s="22">
        <f t="shared" si="48"/>
        <v>-45.712046335383349</v>
      </c>
      <c r="BE43" s="22">
        <f t="shared" si="48"/>
        <v>-45.854622922307009</v>
      </c>
      <c r="BF43" s="22">
        <f t="shared" si="48"/>
        <v>-45.997668245676017</v>
      </c>
      <c r="BG43" s="22">
        <f t="shared" si="48"/>
        <v>-46.141131257421215</v>
      </c>
      <c r="BH43" s="22">
        <f t="shared" si="48"/>
        <v>-46.284962442769633</v>
      </c>
      <c r="BI43" s="22">
        <f t="shared" si="48"/>
        <v>-46.429113783494699</v>
      </c>
      <c r="BJ43" s="22">
        <f t="shared" si="48"/>
        <v>-46.573538721969506</v>
      </c>
      <c r="BK43" s="22">
        <f t="shared" si="48"/>
        <v>-46.718192126005846</v>
      </c>
      <c r="BL43" s="22">
        <f t="shared" si="48"/>
        <v>-46.863030254463375</v>
      </c>
      <c r="BM43" s="22">
        <f t="shared" si="48"/>
        <v>-47.008010723612124</v>
      </c>
      <c r="BN43" s="22">
        <f t="shared" si="48"/>
        <v>-47.153092474233226</v>
      </c>
      <c r="BO43" s="22">
        <f t="shared" si="48"/>
        <v>-47.298235739442077</v>
      </c>
      <c r="BP43" s="22">
        <f t="shared" si="48"/>
        <v>-47.443402013218936</v>
      </c>
      <c r="BQ43" s="22">
        <f t="shared" si="48"/>
        <v>-47.588554019632326</v>
      </c>
      <c r="BR43" s="22">
        <f t="shared" si="48"/>
        <v>-47.733655682740505</v>
      </c>
      <c r="BS43" s="22">
        <f t="shared" ref="BS43:CL43" si="49">PV($F15,BS$9,1,0)+(PV($G$6,84-BS$9,1,0)/($G$6+1)^BS$9)</f>
        <v>-47.878672097157029</v>
      </c>
      <c r="BT43" s="22">
        <f t="shared" si="49"/>
        <v>-48.023569499266358</v>
      </c>
      <c r="BU43" s="22">
        <f t="shared" si="49"/>
        <v>-48.168315239075973</v>
      </c>
      <c r="BV43" s="22">
        <f t="shared" si="49"/>
        <v>-48.31287775269162</v>
      </c>
      <c r="BW43" s="22">
        <f t="shared" si="49"/>
        <v>-48.457226535402604</v>
      </c>
      <c r="BX43" s="22">
        <f t="shared" si="49"/>
        <v>-48.601332115364357</v>
      </c>
      <c r="BY43" s="22">
        <f t="shared" si="49"/>
        <v>-48.745166027865714</v>
      </c>
      <c r="BZ43" s="22">
        <f t="shared" si="49"/>
        <v>-48.888700790168635</v>
      </c>
      <c r="CA43" s="22">
        <f t="shared" si="49"/>
        <v>-49.031909876908216</v>
      </c>
      <c r="CB43" s="22">
        <f t="shared" si="49"/>
        <v>-49.174767696041435</v>
      </c>
      <c r="CC43" s="22">
        <f t="shared" si="49"/>
        <v>-49.317249565332787</v>
      </c>
      <c r="CD43" s="22">
        <f t="shared" si="49"/>
        <v>-49.45933168936574</v>
      </c>
      <c r="CE43" s="22">
        <f t="shared" si="49"/>
        <v>-49.600991137068782</v>
      </c>
      <c r="CF43" s="22">
        <f t="shared" si="49"/>
        <v>-49.742205819745188</v>
      </c>
      <c r="CG43" s="22">
        <f t="shared" si="49"/>
        <v>-49.882954469596029</v>
      </c>
      <c r="CH43" s="22">
        <f t="shared" si="49"/>
        <v>-50.023216618725755</v>
      </c>
      <c r="CI43" s="22">
        <f t="shared" si="49"/>
        <v>-50.162972578620391</v>
      </c>
      <c r="CJ43" s="22">
        <f t="shared" si="49"/>
        <v>-50.302203420088183</v>
      </c>
      <c r="CK43" s="22">
        <f t="shared" si="49"/>
        <v>-50.440890953652882</v>
      </c>
      <c r="CL43" s="22">
        <f t="shared" si="49"/>
        <v>-50.579017710390318</v>
      </c>
      <c r="CM43" s="22"/>
    </row>
    <row r="44" spans="7:91" hidden="1" x14ac:dyDescent="0.25">
      <c r="G44" s="22">
        <f t="shared" ref="G44:BR44" si="50">PV($F16,G$9,1,0)+(PV($G$6,84-G$9,1,0)/($G$6+1)^G$9)</f>
        <v>-40.908019053141707</v>
      </c>
      <c r="H44" s="22">
        <f t="shared" si="50"/>
        <v>-40.919821700893493</v>
      </c>
      <c r="I44" s="22">
        <f t="shared" si="50"/>
        <v>-40.937236801354615</v>
      </c>
      <c r="J44" s="22">
        <f t="shared" si="50"/>
        <v>-40.960078129127162</v>
      </c>
      <c r="K44" s="22">
        <f t="shared" si="50"/>
        <v>-40.988164092836051</v>
      </c>
      <c r="L44" s="22">
        <f t="shared" si="50"/>
        <v>-41.021317631799143</v>
      </c>
      <c r="M44" s="22">
        <f t="shared" si="50"/>
        <v>-41.059366114877697</v>
      </c>
      <c r="N44" s="22">
        <f t="shared" si="50"/>
        <v>-41.102141241462441</v>
      </c>
      <c r="O44" s="22">
        <f t="shared" si="50"/>
        <v>-41.149478944551269</v>
      </c>
      <c r="P44" s="22">
        <f t="shared" si="50"/>
        <v>-41.201219295876321</v>
      </c>
      <c r="Q44" s="22">
        <f t="shared" si="50"/>
        <v>-41.257206413037991</v>
      </c>
      <c r="R44" s="22">
        <f t="shared" si="50"/>
        <v>-41.317288368605141</v>
      </c>
      <c r="S44" s="22">
        <f t="shared" si="50"/>
        <v>-41.381317101141029</v>
      </c>
      <c r="T44" s="22">
        <f t="shared" si="50"/>
        <v>-41.449148328115427</v>
      </c>
      <c r="U44" s="22">
        <f t="shared" si="50"/>
        <v>-41.520641460664692</v>
      </c>
      <c r="V44" s="22">
        <f t="shared" si="50"/>
        <v>-41.59565952016122</v>
      </c>
      <c r="W44" s="22">
        <f t="shared" si="50"/>
        <v>-41.674069056555801</v>
      </c>
      <c r="X44" s="22">
        <f t="shared" si="50"/>
        <v>-41.755740068456042</v>
      </c>
      <c r="Y44" s="22">
        <f t="shared" si="50"/>
        <v>-41.840545924905385</v>
      </c>
      <c r="Z44" s="22">
        <f t="shared" si="50"/>
        <v>-41.928363288827768</v>
      </c>
      <c r="AA44" s="22">
        <f t="shared" si="50"/>
        <v>-42.019072042103758</v>
      </c>
      <c r="AB44" s="22">
        <f t="shared" si="50"/>
        <v>-42.112555212244345</v>
      </c>
      <c r="AC44" s="22">
        <f t="shared" si="50"/>
        <v>-42.208698900629827</v>
      </c>
      <c r="AD44" s="22">
        <f t="shared" si="50"/>
        <v>-42.30739221228157</v>
      </c>
      <c r="AE44" s="22">
        <f t="shared" si="50"/>
        <v>-42.408527187134723</v>
      </c>
      <c r="AF44" s="22">
        <f t="shared" si="50"/>
        <v>-42.511998732781365</v>
      </c>
      <c r="AG44" s="22">
        <f t="shared" si="50"/>
        <v>-42.617704558653628</v>
      </c>
      <c r="AH44" s="22">
        <f t="shared" si="50"/>
        <v>-42.725545111617002</v>
      </c>
      <c r="AI44" s="22">
        <f t="shared" si="50"/>
        <v>-42.835423512944985</v>
      </c>
      <c r="AJ44" s="22">
        <f t="shared" si="50"/>
        <v>-42.947245496646204</v>
      </c>
      <c r="AK44" s="22">
        <f t="shared" si="50"/>
        <v>-43.06091934911646</v>
      </c>
      <c r="AL44" s="22">
        <f t="shared" si="50"/>
        <v>-43.176355850088058</v>
      </c>
      <c r="AM44" s="22">
        <f t="shared" si="50"/>
        <v>-43.293468214849781</v>
      </c>
      <c r="AN44" s="22">
        <f t="shared" si="50"/>
        <v>-43.412172037711031</v>
      </c>
      <c r="AO44" s="22">
        <f t="shared" si="50"/>
        <v>-43.532385236684611</v>
      </c>
      <c r="AP44" s="22">
        <f t="shared" si="50"/>
        <v>-43.654027999362789</v>
      </c>
      <c r="AQ44" s="22">
        <f t="shared" si="50"/>
        <v>-43.777022729961985</v>
      </c>
      <c r="AR44" s="22">
        <f t="shared" si="50"/>
        <v>-43.901293997511836</v>
      </c>
      <c r="AS44" s="22">
        <f t="shared" si="50"/>
        <v>-44.026768485164922</v>
      </c>
      <c r="AT44" s="22">
        <f t="shared" si="50"/>
        <v>-44.153374940603925</v>
      </c>
      <c r="AU44" s="22">
        <f t="shared" si="50"/>
        <v>-44.281044127523437</v>
      </c>
      <c r="AV44" s="22">
        <f t="shared" si="50"/>
        <v>-44.409708778164074</v>
      </c>
      <c r="AW44" s="22">
        <f t="shared" si="50"/>
        <v>-44.539303546877093</v>
      </c>
      <c r="AX44" s="22">
        <f t="shared" si="50"/>
        <v>-44.669764964698025</v>
      </c>
      <c r="AY44" s="22">
        <f t="shared" si="50"/>
        <v>-44.801031394908463</v>
      </c>
      <c r="AZ44" s="22">
        <f t="shared" si="50"/>
        <v>-44.933042989565166</v>
      </c>
      <c r="BA44" s="22">
        <f t="shared" si="50"/>
        <v>-45.065741646976733</v>
      </c>
      <c r="BB44" s="22">
        <f t="shared" si="50"/>
        <v>-45.199070970107798</v>
      </c>
      <c r="BC44" s="22">
        <f t="shared" si="50"/>
        <v>-45.332976225891514</v>
      </c>
      <c r="BD44" s="22">
        <f t="shared" si="50"/>
        <v>-45.467404305431423</v>
      </c>
      <c r="BE44" s="22">
        <f t="shared" si="50"/>
        <v>-45.602303685074105</v>
      </c>
      <c r="BF44" s="22">
        <f t="shared" si="50"/>
        <v>-45.737624388334403</v>
      </c>
      <c r="BG44" s="22">
        <f t="shared" si="50"/>
        <v>-45.87331794865554</v>
      </c>
      <c r="BH44" s="22">
        <f t="shared" si="50"/>
        <v>-46.009337372986508</v>
      </c>
      <c r="BI44" s="22">
        <f t="shared" si="50"/>
        <v>-46.145637106159668</v>
      </c>
      <c r="BJ44" s="22">
        <f t="shared" si="50"/>
        <v>-46.282172996052054</v>
      </c>
      <c r="BK44" s="22">
        <f t="shared" si="50"/>
        <v>-46.418902259513551</v>
      </c>
      <c r="BL44" s="22">
        <f t="shared" si="50"/>
        <v>-46.555783449046238</v>
      </c>
      <c r="BM44" s="22">
        <f t="shared" si="50"/>
        <v>-46.692776420218976</v>
      </c>
      <c r="BN44" s="22">
        <f t="shared" si="50"/>
        <v>-46.829842299801875</v>
      </c>
      <c r="BO44" s="22">
        <f t="shared" si="50"/>
        <v>-46.966943454605492</v>
      </c>
      <c r="BP44" s="22">
        <f t="shared" si="50"/>
        <v>-47.104043461009958</v>
      </c>
      <c r="BQ44" s="22">
        <f t="shared" si="50"/>
        <v>-47.241107075169651</v>
      </c>
      <c r="BR44" s="22">
        <f t="shared" si="50"/>
        <v>-47.378100203878908</v>
      </c>
      <c r="BS44" s="22">
        <f t="shared" ref="BS44:CL44" si="51">PV($F16,BS$9,1,0)+(PV($G$6,84-BS$9,1,0)/($G$6+1)^BS$9)</f>
        <v>-47.514989876085323</v>
      </c>
      <c r="BT44" s="22">
        <f t="shared" si="51"/>
        <v>-47.651744215036516</v>
      </c>
      <c r="BU44" s="22">
        <f t="shared" si="51"/>
        <v>-47.788332411047371</v>
      </c>
      <c r="BV44" s="22">
        <f t="shared" si="51"/>
        <v>-47.924724694874499</v>
      </c>
      <c r="BW44" s="22">
        <f t="shared" si="51"/>
        <v>-48.060892311685187</v>
      </c>
      <c r="BX44" s="22">
        <f t="shared" si="51"/>
        <v>-48.196807495608113</v>
      </c>
      <c r="BY44" s="22">
        <f t="shared" si="51"/>
        <v>-48.332443444853872</v>
      </c>
      <c r="BZ44" s="22">
        <f t="shared" si="51"/>
        <v>-48.467774297392886</v>
      </c>
      <c r="CA44" s="22">
        <f t="shared" si="51"/>
        <v>-48.602775107179191</v>
      </c>
      <c r="CB44" s="22">
        <f t="shared" si="51"/>
        <v>-48.737421820908359</v>
      </c>
      <c r="CC44" s="22">
        <f t="shared" si="51"/>
        <v>-48.871691255298387</v>
      </c>
      <c r="CD44" s="22">
        <f t="shared" si="51"/>
        <v>-49.005561074882294</v>
      </c>
      <c r="CE44" s="22">
        <f t="shared" si="51"/>
        <v>-49.139009770301826</v>
      </c>
      <c r="CF44" s="22">
        <f t="shared" si="51"/>
        <v>-49.272016637091255</v>
      </c>
      <c r="CG44" s="22">
        <f t="shared" si="51"/>
        <v>-49.404561754941284</v>
      </c>
      <c r="CH44" s="22">
        <f t="shared" si="51"/>
        <v>-49.536625967432514</v>
      </c>
      <c r="CI44" s="22">
        <f t="shared" si="51"/>
        <v>-49.668190862228649</v>
      </c>
      <c r="CJ44" s="22">
        <f t="shared" si="51"/>
        <v>-49.799238751719606</v>
      </c>
      <c r="CK44" s="22">
        <f t="shared" si="51"/>
        <v>-49.929752654104959</v>
      </c>
      <c r="CL44" s="22">
        <f t="shared" si="51"/>
        <v>-50.059716274908283</v>
      </c>
      <c r="CM44" s="22"/>
    </row>
    <row r="45" spans="7:91" hidden="1" x14ac:dyDescent="0.25">
      <c r="G45" s="22">
        <f t="shared" ref="G45:BR45" si="52">PV($F17,G$9,1,0)+(PV($G$6,84-G$9,1,0)/($G$6+1)^G$9)</f>
        <v>-40.907532524629673</v>
      </c>
      <c r="H45" s="22">
        <f t="shared" si="52"/>
        <v>-40.918375313359775</v>
      </c>
      <c r="I45" s="22">
        <f t="shared" si="52"/>
        <v>-40.934370153747615</v>
      </c>
      <c r="J45" s="22">
        <f t="shared" si="52"/>
        <v>-40.955343486166633</v>
      </c>
      <c r="K45" s="22">
        <f t="shared" si="52"/>
        <v>-40.981126126101486</v>
      </c>
      <c r="L45" s="22">
        <f t="shared" si="52"/>
        <v>-41.011553165512353</v>
      </c>
      <c r="M45" s="22">
        <f t="shared" si="52"/>
        <v>-41.046463876299782</v>
      </c>
      <c r="N45" s="22">
        <f t="shared" si="52"/>
        <v>-41.08570161582675</v>
      </c>
      <c r="O45" s="22">
        <f t="shared" si="52"/>
        <v>-41.12911373445516</v>
      </c>
      <c r="P45" s="22">
        <f t="shared" si="52"/>
        <v>-41.176551485055953</v>
      </c>
      <c r="Q45" s="22">
        <f t="shared" si="52"/>
        <v>-41.227869934451391</v>
      </c>
      <c r="R45" s="22">
        <f t="shared" si="52"/>
        <v>-41.282927876750158</v>
      </c>
      <c r="S45" s="22">
        <f t="shared" si="52"/>
        <v>-41.341587748535908</v>
      </c>
      <c r="T45" s="22">
        <f t="shared" si="52"/>
        <v>-41.403715545871115</v>
      </c>
      <c r="U45" s="22">
        <f t="shared" si="52"/>
        <v>-41.469180743078695</v>
      </c>
      <c r="V45" s="22">
        <f t="shared" si="52"/>
        <v>-41.537856213264604</v>
      </c>
      <c r="W45" s="22">
        <f t="shared" si="52"/>
        <v>-41.609618150545415</v>
      </c>
      <c r="X45" s="22">
        <f t="shared" si="52"/>
        <v>-41.684345993945719</v>
      </c>
      <c r="Y45" s="22">
        <f t="shared" si="52"/>
        <v>-41.761922352930497</v>
      </c>
      <c r="Z45" s="22">
        <f t="shared" si="52"/>
        <v>-41.842232934538927</v>
      </c>
      <c r="AA45" s="22">
        <f t="shared" si="52"/>
        <v>-41.925166472086218</v>
      </c>
      <c r="AB45" s="22">
        <f t="shared" si="52"/>
        <v>-42.010614655401056</v>
      </c>
      <c r="AC45" s="22">
        <f t="shared" si="52"/>
        <v>-42.098472062566735</v>
      </c>
      <c r="AD45" s="22">
        <f t="shared" si="52"/>
        <v>-42.188636093135003</v>
      </c>
      <c r="AE45" s="22">
        <f t="shared" si="52"/>
        <v>-42.281006902781584</v>
      </c>
      <c r="AF45" s="22">
        <f t="shared" si="52"/>
        <v>-42.375487339374011</v>
      </c>
      <c r="AG45" s="22">
        <f t="shared" si="52"/>
        <v>-42.471982880421905</v>
      </c>
      <c r="AH45" s="22">
        <f t="shared" si="52"/>
        <v>-42.570401571881298</v>
      </c>
      <c r="AI45" s="22">
        <f t="shared" si="52"/>
        <v>-42.670653968284654</v>
      </c>
      <c r="AJ45" s="22">
        <f t="shared" si="52"/>
        <v>-42.772653074169042</v>
      </c>
      <c r="AK45" s="22">
        <f t="shared" si="52"/>
        <v>-42.876314286775518</v>
      </c>
      <c r="AL45" s="22">
        <f t="shared" si="52"/>
        <v>-42.981555339992994</v>
      </c>
      <c r="AM45" s="22">
        <f t="shared" si="52"/>
        <v>-43.088296249520965</v>
      </c>
      <c r="AN45" s="22">
        <f t="shared" si="52"/>
        <v>-43.196459259225399</v>
      </c>
      <c r="AO45" s="22">
        <f t="shared" si="52"/>
        <v>-43.30596878866308</v>
      </c>
      <c r="AP45" s="22">
        <f t="shared" si="52"/>
        <v>-43.416751381749854</v>
      </c>
      <c r="AQ45" s="22">
        <f t="shared" si="52"/>
        <v>-43.528735656549024</v>
      </c>
      <c r="AR45" s="22">
        <f t="shared" si="52"/>
        <v>-43.641852256156383</v>
      </c>
      <c r="AS45" s="22">
        <f t="shared" si="52"/>
        <v>-43.756033800658983</v>
      </c>
      <c r="AT45" s="22">
        <f t="shared" si="52"/>
        <v>-43.871214840145186</v>
      </c>
      <c r="AU45" s="22">
        <f t="shared" si="52"/>
        <v>-43.987331808743974</v>
      </c>
      <c r="AV45" s="22">
        <f t="shared" si="52"/>
        <v>-44.104322979671892</v>
      </c>
      <c r="AW45" s="22">
        <f t="shared" si="52"/>
        <v>-44.222128421266689</v>
      </c>
      <c r="AX45" s="22">
        <f t="shared" si="52"/>
        <v>-44.340689953986718</v>
      </c>
      <c r="AY45" s="22">
        <f t="shared" si="52"/>
        <v>-44.459951108356023</v>
      </c>
      <c r="AZ45" s="22">
        <f t="shared" si="52"/>
        <v>-44.579857083835151</v>
      </c>
      <c r="BA45" s="22">
        <f t="shared" si="52"/>
        <v>-44.70035470859834</v>
      </c>
      <c r="BB45" s="22">
        <f t="shared" si="52"/>
        <v>-44.821392400197865</v>
      </c>
      <c r="BC45" s="22">
        <f t="shared" si="52"/>
        <v>-44.942920127097018</v>
      </c>
      <c r="BD45" s="22">
        <f t="shared" si="52"/>
        <v>-45.064889371053525</v>
      </c>
      <c r="BE45" s="22">
        <f t="shared" si="52"/>
        <v>-45.187253090335119</v>
      </c>
      <c r="BF45" s="22">
        <f t="shared" si="52"/>
        <v>-45.309965683750256</v>
      </c>
      <c r="BG45" s="22">
        <f t="shared" si="52"/>
        <v>-45.432982955476291</v>
      </c>
      <c r="BH45" s="22">
        <f t="shared" si="52"/>
        <v>-45.556262080668716</v>
      </c>
      <c r="BI45" s="22">
        <f t="shared" si="52"/>
        <v>-45.679761571834547</v>
      </c>
      <c r="BJ45" s="22">
        <f t="shared" si="52"/>
        <v>-45.803441245954104</v>
      </c>
      <c r="BK45" s="22">
        <f t="shared" si="52"/>
        <v>-45.927262192335192</v>
      </c>
      <c r="BL45" s="22">
        <f t="shared" si="52"/>
        <v>-46.051186741184047</v>
      </c>
      <c r="BM45" s="22">
        <f t="shared" si="52"/>
        <v>-46.175178432878234</v>
      </c>
      <c r="BN45" s="22">
        <f t="shared" si="52"/>
        <v>-46.299201987926224</v>
      </c>
      <c r="BO45" s="22">
        <f t="shared" si="52"/>
        <v>-46.423223277599476</v>
      </c>
      <c r="BP45" s="22">
        <f t="shared" si="52"/>
        <v>-46.547209295222416</v>
      </c>
      <c r="BQ45" s="22">
        <f t="shared" si="52"/>
        <v>-46.671128128106638</v>
      </c>
      <c r="BR45" s="22">
        <f t="shared" si="52"/>
        <v>-46.794948930115432</v>
      </c>
      <c r="BS45" s="22">
        <f t="shared" ref="BS45:CL45" si="53">PV($F17,BS$9,1,0)+(PV($G$6,84-BS$9,1,0)/($G$6+1)^BS$9)</f>
        <v>-46.918641894845429</v>
      </c>
      <c r="BT45" s="22">
        <f t="shared" si="53"/>
        <v>-47.042178229412073</v>
      </c>
      <c r="BU45" s="22">
        <f t="shared" si="53"/>
        <v>-47.165530128826134</v>
      </c>
      <c r="BV45" s="22">
        <f t="shared" si="53"/>
        <v>-47.288670750948739</v>
      </c>
      <c r="BW45" s="22">
        <f t="shared" si="53"/>
        <v>-47.411574192012566</v>
      </c>
      <c r="BX45" s="22">
        <f t="shared" si="53"/>
        <v>-47.534215462696906</v>
      </c>
      <c r="BY45" s="22">
        <f t="shared" si="53"/>
        <v>-47.656570464745251</v>
      </c>
      <c r="BZ45" s="22">
        <f t="shared" si="53"/>
        <v>-47.778615968113293</v>
      </c>
      <c r="CA45" s="22">
        <f t="shared" si="53"/>
        <v>-47.90032958863636</v>
      </c>
      <c r="CB45" s="22">
        <f t="shared" si="53"/>
        <v>-48.02168976620505</v>
      </c>
      <c r="CC45" s="22">
        <f t="shared" si="53"/>
        <v>-48.142675743438147</v>
      </c>
      <c r="CD45" s="22">
        <f t="shared" si="53"/>
        <v>-48.263267544842257</v>
      </c>
      <c r="CE45" s="22">
        <f t="shared" si="53"/>
        <v>-48.383445956447694</v>
      </c>
      <c r="CF45" s="22">
        <f t="shared" si="53"/>
        <v>-48.503192505910306</v>
      </c>
      <c r="CG45" s="22">
        <f t="shared" si="53"/>
        <v>-48.622489443069455</v>
      </c>
      <c r="CH45" s="22">
        <f t="shared" si="53"/>
        <v>-48.741319720952134</v>
      </c>
      <c r="CI45" s="22">
        <f t="shared" si="53"/>
        <v>-48.859666977213678</v>
      </c>
      <c r="CJ45" s="22">
        <f t="shared" si="53"/>
        <v>-48.97751551600583</v>
      </c>
      <c r="CK45" s="22">
        <f t="shared" si="53"/>
        <v>-49.094850290262656</v>
      </c>
      <c r="CL45" s="22">
        <f t="shared" si="53"/>
        <v>-49.211656884395701</v>
      </c>
      <c r="CM45" s="22"/>
    </row>
    <row r="46" spans="7:91" hidden="1" x14ac:dyDescent="0.25">
      <c r="G46" s="22">
        <f t="shared" ref="G46:BR46" si="54">PV($F18,G$9,1,0)+(PV($G$6,84-G$9,1,0)/($G$6+1)^G$9)</f>
        <v>-40.906852190239483</v>
      </c>
      <c r="H46" s="22">
        <f t="shared" si="54"/>
        <v>-40.916353559398047</v>
      </c>
      <c r="I46" s="22">
        <f t="shared" si="54"/>
        <v>-40.930364735688983</v>
      </c>
      <c r="J46" s="22">
        <f t="shared" si="54"/>
        <v>-40.948730599298052</v>
      </c>
      <c r="K46" s="22">
        <f t="shared" si="54"/>
        <v>-40.971300012251554</v>
      </c>
      <c r="L46" s="22">
        <f t="shared" si="54"/>
        <v>-40.997925727219389</v>
      </c>
      <c r="M46" s="22">
        <f t="shared" si="54"/>
        <v>-41.028464298286906</v>
      </c>
      <c r="N46" s="22">
        <f t="shared" si="54"/>
        <v>-41.062775993654355</v>
      </c>
      <c r="O46" s="22">
        <f t="shared" si="54"/>
        <v>-41.100724710223552</v>
      </c>
      <c r="P46" s="22">
        <f t="shared" si="54"/>
        <v>-41.142177890032698</v>
      </c>
      <c r="Q46" s="22">
        <f t="shared" si="54"/>
        <v>-41.187006438500596</v>
      </c>
      <c r="R46" s="22">
        <f t="shared" si="54"/>
        <v>-41.235084644442466</v>
      </c>
      <c r="S46" s="22">
        <f t="shared" si="54"/>
        <v>-41.286290101820519</v>
      </c>
      <c r="T46" s="22">
        <f t="shared" si="54"/>
        <v>-41.340503633192789</v>
      </c>
      <c r="U46" s="22">
        <f t="shared" si="54"/>
        <v>-41.397609214824961</v>
      </c>
      <c r="V46" s="22">
        <f t="shared" si="54"/>
        <v>-41.457493903430176</v>
      </c>
      <c r="W46" s="22">
        <f t="shared" si="54"/>
        <v>-41.520047764502934</v>
      </c>
      <c r="X46" s="22">
        <f t="shared" si="54"/>
        <v>-41.585163802213529</v>
      </c>
      <c r="Y46" s="22">
        <f t="shared" si="54"/>
        <v>-41.652737890830458</v>
      </c>
      <c r="Z46" s="22">
        <f t="shared" si="54"/>
        <v>-41.722668707638697</v>
      </c>
      <c r="AA46" s="22">
        <f t="shared" si="54"/>
        <v>-41.794857667322503</v>
      </c>
      <c r="AB46" s="22">
        <f t="shared" si="54"/>
        <v>-41.869208857781949</v>
      </c>
      <c r="AC46" s="22">
        <f t="shared" si="54"/>
        <v>-41.945628977353152</v>
      </c>
      <c r="AD46" s="22">
        <f t="shared" si="54"/>
        <v>-42.024027273402709</v>
      </c>
      <c r="AE46" s="22">
        <f t="shared" si="54"/>
        <v>-42.104315482267381</v>
      </c>
      <c r="AF46" s="22">
        <f t="shared" si="54"/>
        <v>-42.186407770510769</v>
      </c>
      <c r="AG46" s="22">
        <f t="shared" si="54"/>
        <v>-42.270220677469368</v>
      </c>
      <c r="AH46" s="22">
        <f t="shared" si="54"/>
        <v>-42.355673059060621</v>
      </c>
      <c r="AI46" s="22">
        <f t="shared" si="54"/>
        <v>-42.442686032826643</v>
      </c>
      <c r="AJ46" s="22">
        <f t="shared" si="54"/>
        <v>-42.531182924187391</v>
      </c>
      <c r="AK46" s="22">
        <f t="shared" si="54"/>
        <v>-42.621089213877916</v>
      </c>
      <c r="AL46" s="22">
        <f t="shared" si="54"/>
        <v>-42.712332486544497</v>
      </c>
      <c r="AM46" s="22">
        <f t="shared" si="54"/>
        <v>-42.804842380475449</v>
      </c>
      <c r="AN46" s="22">
        <f t="shared" si="54"/>
        <v>-42.898550538442464</v>
      </c>
      <c r="AO46" s="22">
        <f t="shared" si="54"/>
        <v>-42.993390559629077</v>
      </c>
      <c r="AP46" s="22">
        <f t="shared" si="54"/>
        <v>-43.089297952623149</v>
      </c>
      <c r="AQ46" s="22">
        <f t="shared" si="54"/>
        <v>-43.186210089451102</v>
      </c>
      <c r="AR46" s="22">
        <f t="shared" si="54"/>
        <v>-43.284066160631554</v>
      </c>
      <c r="AS46" s="22">
        <f t="shared" si="54"/>
        <v>-43.382807131226961</v>
      </c>
      <c r="AT46" s="22">
        <f t="shared" si="54"/>
        <v>-43.482375697871994</v>
      </c>
      <c r="AU46" s="22">
        <f t="shared" si="54"/>
        <v>-43.582716246758011</v>
      </c>
      <c r="AV46" s="22">
        <f t="shared" si="54"/>
        <v>-43.683774812553267</v>
      </c>
      <c r="AW46" s="22">
        <f t="shared" si="54"/>
        <v>-43.785499038239017</v>
      </c>
      <c r="AX46" s="22">
        <f t="shared" si="54"/>
        <v>-43.887838135842024</v>
      </c>
      <c r="AY46" s="22">
        <f t="shared" si="54"/>
        <v>-43.990742848044476</v>
      </c>
      <c r="AZ46" s="22">
        <f t="shared" si="54"/>
        <v>-44.094165410652494</v>
      </c>
      <c r="BA46" s="22">
        <f t="shared" si="54"/>
        <v>-44.198059515905186</v>
      </c>
      <c r="BB46" s="22">
        <f t="shared" si="54"/>
        <v>-44.302380276606016</v>
      </c>
      <c r="BC46" s="22">
        <f t="shared" si="54"/>
        <v>-44.407084191059333</v>
      </c>
      <c r="BD46" s="22">
        <f t="shared" si="54"/>
        <v>-44.512129108794511</v>
      </c>
      <c r="BE46" s="22">
        <f t="shared" si="54"/>
        <v>-44.617474197061163</v>
      </c>
      <c r="BF46" s="22">
        <f t="shared" si="54"/>
        <v>-44.723079908078773</v>
      </c>
      <c r="BG46" s="22">
        <f t="shared" si="54"/>
        <v>-44.828907947024831</v>
      </c>
      <c r="BH46" s="22">
        <f t="shared" si="54"/>
        <v>-44.934921240745368</v>
      </c>
      <c r="BI46" s="22">
        <f t="shared" si="54"/>
        <v>-45.041083907172691</v>
      </c>
      <c r="BJ46" s="22">
        <f t="shared" si="54"/>
        <v>-45.14736122543507</v>
      </c>
      <c r="BK46" s="22">
        <f t="shared" si="54"/>
        <v>-45.25371960664355</v>
      </c>
      <c r="BL46" s="22">
        <f t="shared" si="54"/>
        <v>-45.360126565341339</v>
      </c>
      <c r="BM46" s="22">
        <f t="shared" si="54"/>
        <v>-45.466550691601562</v>
      </c>
      <c r="BN46" s="22">
        <f t="shared" si="54"/>
        <v>-45.572961623759497</v>
      </c>
      <c r="BO46" s="22">
        <f t="shared" si="54"/>
        <v>-45.67933002176558</v>
      </c>
      <c r="BP46" s="22">
        <f t="shared" si="54"/>
        <v>-45.785627541145899</v>
      </c>
      <c r="BQ46" s="22">
        <f t="shared" si="54"/>
        <v>-45.891826807557045</v>
      </c>
      <c r="BR46" s="22">
        <f t="shared" si="54"/>
        <v>-45.99790139192249</v>
      </c>
      <c r="BS46" s="22">
        <f t="shared" ref="BS46:CL46" si="55">PV($F18,BS$9,1,0)+(PV($G$6,84-BS$9,1,0)/($G$6+1)^BS$9)</f>
        <v>-46.103825786138074</v>
      </c>
      <c r="BT46" s="22">
        <f t="shared" si="55"/>
        <v>-46.209575379334183</v>
      </c>
      <c r="BU46" s="22">
        <f t="shared" si="55"/>
        <v>-46.315126434682654</v>
      </c>
      <c r="BV46" s="22">
        <f t="shared" si="55"/>
        <v>-46.420456066736648</v>
      </c>
      <c r="BW46" s="22">
        <f t="shared" si="55"/>
        <v>-46.525542219292028</v>
      </c>
      <c r="BX46" s="22">
        <f t="shared" si="55"/>
        <v>-46.63036364375872</v>
      </c>
      <c r="BY46" s="22">
        <f t="shared" si="55"/>
        <v>-46.734899878031321</v>
      </c>
      <c r="BZ46" s="22">
        <f t="shared" si="55"/>
        <v>-46.8391312258479</v>
      </c>
      <c r="CA46" s="22">
        <f t="shared" si="55"/>
        <v>-46.943038736626519</v>
      </c>
      <c r="CB46" s="22">
        <f t="shared" si="55"/>
        <v>-47.046604185769048</v>
      </c>
      <c r="CC46" s="22">
        <f t="shared" si="55"/>
        <v>-47.149810055422122</v>
      </c>
      <c r="CD46" s="22">
        <f t="shared" si="55"/>
        <v>-47.252639515685352</v>
      </c>
      <c r="CE46" s="22">
        <f t="shared" si="55"/>
        <v>-47.355076406257005</v>
      </c>
      <c r="CF46" s="22">
        <f t="shared" si="55"/>
        <v>-47.457105218507564</v>
      </c>
      <c r="CG46" s="22">
        <f t="shared" si="55"/>
        <v>-47.558711077972056</v>
      </c>
      <c r="CH46" s="22">
        <f t="shared" si="55"/>
        <v>-47.659879727251663</v>
      </c>
      <c r="CI46" s="22">
        <f t="shared" si="55"/>
        <v>-47.760597509316092</v>
      </c>
      <c r="CJ46" s="22">
        <f t="shared" si="55"/>
        <v>-47.860851351197581</v>
      </c>
      <c r="CK46" s="22">
        <f t="shared" si="55"/>
        <v>-47.960628748068125</v>
      </c>
      <c r="CL46" s="22">
        <f t="shared" si="55"/>
        <v>-48.059917747691642</v>
      </c>
      <c r="CM46" s="22"/>
    </row>
    <row r="47" spans="7:91" hidden="1" x14ac:dyDescent="0.25">
      <c r="G47" s="22">
        <f t="shared" ref="G47:BR47" si="56">PV($F19,G$9,1,0)+(PV($G$6,84-G$9,1,0)/($G$6+1)^G$9)</f>
        <v>-40.906560905620907</v>
      </c>
      <c r="H47" s="22">
        <f t="shared" si="56"/>
        <v>-40.915488230093203</v>
      </c>
      <c r="I47" s="22">
        <f t="shared" si="56"/>
        <v>-40.928650939069264</v>
      </c>
      <c r="J47" s="22">
        <f t="shared" si="56"/>
        <v>-40.945902066713067</v>
      </c>
      <c r="K47" s="22">
        <f t="shared" si="56"/>
        <v>-40.967098449152239</v>
      </c>
      <c r="L47" s="22">
        <f t="shared" si="56"/>
        <v>-40.992100636799591</v>
      </c>
      <c r="M47" s="22">
        <f t="shared" si="56"/>
        <v>-41.020772808578975</v>
      </c>
      <c r="N47" s="22">
        <f t="shared" si="56"/>
        <v>-41.052982688015348</v>
      </c>
      <c r="O47" s="22">
        <f t="shared" si="56"/>
        <v>-41.088601461149885</v>
      </c>
      <c r="P47" s="22">
        <f t="shared" si="56"/>
        <v>-41.127503696242201</v>
      </c>
      <c r="Q47" s="22">
        <f t="shared" si="56"/>
        <v>-41.169567265221772</v>
      </c>
      <c r="R47" s="22">
        <f t="shared" si="56"/>
        <v>-41.214673266852117</v>
      </c>
      <c r="S47" s="22">
        <f t="shared" si="56"/>
        <v>-41.262705951571746</v>
      </c>
      <c r="T47" s="22">
        <f t="shared" si="56"/>
        <v>-41.313552647976358</v>
      </c>
      <c r="U47" s="22">
        <f t="shared" si="56"/>
        <v>-41.367103690908301</v>
      </c>
      <c r="V47" s="22">
        <f t="shared" si="56"/>
        <v>-41.42325235111889</v>
      </c>
      <c r="W47" s="22">
        <f t="shared" si="56"/>
        <v>-41.481894766470994</v>
      </c>
      <c r="X47" s="22">
        <f t="shared" si="56"/>
        <v>-41.542929874649083</v>
      </c>
      <c r="Y47" s="22">
        <f t="shared" si="56"/>
        <v>-41.606259347345187</v>
      </c>
      <c r="Z47" s="22">
        <f t="shared" si="56"/>
        <v>-41.671787525889606</v>
      </c>
      <c r="AA47" s="22">
        <f t="shared" si="56"/>
        <v>-41.739421358295886</v>
      </c>
      <c r="AB47" s="22">
        <f t="shared" si="56"/>
        <v>-41.809070337690116</v>
      </c>
      <c r="AC47" s="22">
        <f t="shared" si="56"/>
        <v>-41.880646442095554</v>
      </c>
      <c r="AD47" s="22">
        <f t="shared" si="56"/>
        <v>-41.954064075543734</v>
      </c>
      <c r="AE47" s="22">
        <f t="shared" si="56"/>
        <v>-42.029240010484109</v>
      </c>
      <c r="AF47" s="22">
        <f t="shared" si="56"/>
        <v>-42.10609333146472</v>
      </c>
      <c r="AG47" s="22">
        <f t="shared" si="56"/>
        <v>-42.184545380057095</v>
      </c>
      <c r="AH47" s="22">
        <f t="shared" si="56"/>
        <v>-42.264519700998846</v>
      </c>
      <c r="AI47" s="22">
        <f t="shared" si="56"/>
        <v>-42.345941989528463</v>
      </c>
      <c r="AJ47" s="22">
        <f t="shared" si="56"/>
        <v>-42.428740039886563</v>
      </c>
      <c r="AK47" s="22">
        <f t="shared" si="56"/>
        <v>-42.5128436949595</v>
      </c>
      <c r="AL47" s="22">
        <f t="shared" si="56"/>
        <v>-42.598184797040417</v>
      </c>
      <c r="AM47" s="22">
        <f t="shared" si="56"/>
        <v>-42.68469713968453</v>
      </c>
      <c r="AN47" s="22">
        <f t="shared" si="56"/>
        <v>-42.772316420635079</v>
      </c>
      <c r="AO47" s="22">
        <f t="shared" si="56"/>
        <v>-42.860980195797367</v>
      </c>
      <c r="AP47" s="22">
        <f t="shared" si="56"/>
        <v>-42.950627834238432</v>
      </c>
      <c r="AQ47" s="22">
        <f t="shared" si="56"/>
        <v>-43.041200474190752</v>
      </c>
      <c r="AR47" s="22">
        <f t="shared" si="56"/>
        <v>-43.132640980038289</v>
      </c>
      <c r="AS47" s="22">
        <f t="shared" si="56"/>
        <v>-43.224893900264171</v>
      </c>
      <c r="AT47" s="22">
        <f t="shared" si="56"/>
        <v>-43.317905426339479</v>
      </c>
      <c r="AU47" s="22">
        <f t="shared" si="56"/>
        <v>-43.411623352532921</v>
      </c>
      <c r="AV47" s="22">
        <f t="shared" si="56"/>
        <v>-43.505997036621864</v>
      </c>
      <c r="AW47" s="22">
        <f t="shared" si="56"/>
        <v>-43.600977361485455</v>
      </c>
      <c r="AX47" s="22">
        <f t="shared" si="56"/>
        <v>-43.696516697560803</v>
      </c>
      <c r="AY47" s="22">
        <f t="shared" si="56"/>
        <v>-43.792568866144109</v>
      </c>
      <c r="AZ47" s="22">
        <f t="shared" si="56"/>
        <v>-43.889089103518138</v>
      </c>
      <c r="BA47" s="22">
        <f t="shared" si="56"/>
        <v>-43.986034025888983</v>
      </c>
      <c r="BB47" s="22">
        <f t="shared" si="56"/>
        <v>-44.08336159511407</v>
      </c>
      <c r="BC47" s="22">
        <f t="shared" si="56"/>
        <v>-44.181031085205042</v>
      </c>
      <c r="BD47" s="22">
        <f t="shared" si="56"/>
        <v>-44.279003049588489</v>
      </c>
      <c r="BE47" s="22">
        <f t="shared" si="56"/>
        <v>-44.377239289108381</v>
      </c>
      <c r="BF47" s="22">
        <f t="shared" si="56"/>
        <v>-44.475702820754321</v>
      </c>
      <c r="BG47" s="22">
        <f t="shared" si="56"/>
        <v>-44.574357847099982</v>
      </c>
      <c r="BH47" s="22">
        <f t="shared" si="56"/>
        <v>-44.673169726436235</v>
      </c>
      <c r="BI47" s="22">
        <f t="shared" si="56"/>
        <v>-44.772104943584338</v>
      </c>
      <c r="BJ47" s="22">
        <f t="shared" si="56"/>
        <v>-44.871131081374294</v>
      </c>
      <c r="BK47" s="22">
        <f t="shared" si="56"/>
        <v>-44.970216792774131</v>
      </c>
      <c r="BL47" s="22">
        <f t="shared" si="56"/>
        <v>-45.069331773655975</v>
      </c>
      <c r="BM47" s="22">
        <f t="shared" si="56"/>
        <v>-45.168446736185231</v>
      </c>
      <c r="BN47" s="22">
        <f t="shared" si="56"/>
        <v>-45.267533382819373</v>
      </c>
      <c r="BO47" s="22">
        <f t="shared" si="56"/>
        <v>-45.366564380903178</v>
      </c>
      <c r="BP47" s="22">
        <f t="shared" si="56"/>
        <v>-45.465513337847391</v>
      </c>
      <c r="BQ47" s="22">
        <f t="shared" si="56"/>
        <v>-45.564354776878396</v>
      </c>
      <c r="BR47" s="22">
        <f t="shared" si="56"/>
        <v>-45.663064113346181</v>
      </c>
      <c r="BS47" s="22">
        <f t="shared" ref="BS47:CL47" si="57">PV($F19,BS$9,1,0)+(PV($G$6,84-BS$9,1,0)/($G$6+1)^BS$9)</f>
        <v>-45.761617631578879</v>
      </c>
      <c r="BT47" s="22">
        <f t="shared" si="57"/>
        <v>-45.859992462271663</v>
      </c>
      <c r="BU47" s="22">
        <f t="shared" si="57"/>
        <v>-45.95816656039856</v>
      </c>
      <c r="BV47" s="22">
        <f t="shared" si="57"/>
        <v>-46.056118683635816</v>
      </c>
      <c r="BW47" s="22">
        <f t="shared" si="57"/>
        <v>-46.153828371285641</v>
      </c>
      <c r="BX47" s="22">
        <f t="shared" si="57"/>
        <v>-46.25127592368932</v>
      </c>
      <c r="BY47" s="22">
        <f t="shared" si="57"/>
        <v>-46.348442382119288</v>
      </c>
      <c r="BZ47" s="22">
        <f t="shared" si="57"/>
        <v>-46.445309509139435</v>
      </c>
      <c r="CA47" s="22">
        <f t="shared" si="57"/>
        <v>-46.54185976942356</v>
      </c>
      <c r="CB47" s="22">
        <f t="shared" si="57"/>
        <v>-46.638076311022033</v>
      </c>
      <c r="CC47" s="22">
        <f t="shared" si="57"/>
        <v>-46.733942947066623</v>
      </c>
      <c r="CD47" s="22">
        <f t="shared" si="57"/>
        <v>-46.829444137904112</v>
      </c>
      <c r="CE47" s="22">
        <f t="shared" si="57"/>
        <v>-46.924564973649261</v>
      </c>
      <c r="CF47" s="22">
        <f t="shared" si="57"/>
        <v>-47.019291157147784</v>
      </c>
      <c r="CG47" s="22">
        <f t="shared" si="57"/>
        <v>-47.113608987340577</v>
      </c>
      <c r="CH47" s="22">
        <f t="shared" si="57"/>
        <v>-47.207505343020145</v>
      </c>
      <c r="CI47" s="22">
        <f t="shared" si="57"/>
        <v>-47.300967666970756</v>
      </c>
      <c r="CJ47" s="22">
        <f t="shared" si="57"/>
        <v>-47.393983950483829</v>
      </c>
      <c r="CK47" s="22">
        <f t="shared" si="57"/>
        <v>-47.486542718240209</v>
      </c>
      <c r="CL47" s="22">
        <f t="shared" si="57"/>
        <v>-47.578633013551517</v>
      </c>
      <c r="CM47" s="22"/>
    </row>
    <row r="48" spans="7:91" hidden="1" x14ac:dyDescent="0.25">
      <c r="G48" s="22">
        <f t="shared" ref="G48:BR48" si="58">PV($F20,G$9,1,0)+(PV($G$6,84-G$9,1,0)/($G$6+1)^G$9)</f>
        <v>-40.906075813708128</v>
      </c>
      <c r="H48" s="22">
        <f t="shared" si="58"/>
        <v>-40.914047527361028</v>
      </c>
      <c r="I48" s="22">
        <f t="shared" si="58"/>
        <v>-40.925798351239827</v>
      </c>
      <c r="J48" s="22">
        <f t="shared" si="58"/>
        <v>-40.941195242337692</v>
      </c>
      <c r="K48" s="22">
        <f t="shared" si="58"/>
        <v>-40.960108644266128</v>
      </c>
      <c r="L48" s="22">
        <f t="shared" si="58"/>
        <v>-40.982412405909564</v>
      </c>
      <c r="M48" s="22">
        <f t="shared" si="58"/>
        <v>-41.007983701864966</v>
      </c>
      <c r="N48" s="22">
        <f t="shared" si="58"/>
        <v>-41.036702954628872</v>
      </c>
      <c r="O48" s="22">
        <f t="shared" si="58"/>
        <v>-41.068453758494513</v>
      </c>
      <c r="P48" s="22">
        <f t="shared" si="58"/>
        <v>-41.103122805123256</v>
      </c>
      <c r="Q48" s="22">
        <f t="shared" si="58"/>
        <v>-41.140599810754537</v>
      </c>
      <c r="R48" s="22">
        <f t="shared" si="58"/>
        <v>-41.180777445019828</v>
      </c>
      <c r="S48" s="22">
        <f t="shared" si="58"/>
        <v>-41.223551261326456</v>
      </c>
      <c r="T48" s="22">
        <f t="shared" si="58"/>
        <v>-41.268819628778104</v>
      </c>
      <c r="U48" s="22">
        <f t="shared" si="58"/>
        <v>-41.316483665599343</v>
      </c>
      <c r="V48" s="22">
        <f t="shared" si="58"/>
        <v>-41.366447174032132</v>
      </c>
      <c r="W48" s="22">
        <f t="shared" si="58"/>
        <v>-41.41861657667323</v>
      </c>
      <c r="X48" s="22">
        <f t="shared" si="58"/>
        <v>-41.47290085422177</v>
      </c>
      <c r="Y48" s="22">
        <f t="shared" si="58"/>
        <v>-41.529211484606904</v>
      </c>
      <c r="Z48" s="22">
        <f t="shared" si="58"/>
        <v>-41.587462383466359</v>
      </c>
      <c r="AA48" s="22">
        <f t="shared" si="58"/>
        <v>-41.647569845947018</v>
      </c>
      <c r="AB48" s="22">
        <f t="shared" si="58"/>
        <v>-41.709452489799304</v>
      </c>
      <c r="AC48" s="22">
        <f t="shared" si="58"/>
        <v>-41.773031199737872</v>
      </c>
      <c r="AD48" s="22">
        <f t="shared" si="58"/>
        <v>-41.838229073041688</v>
      </c>
      <c r="AE48" s="22">
        <f t="shared" si="58"/>
        <v>-41.904971366366695</v>
      </c>
      <c r="AF48" s="22">
        <f t="shared" si="58"/>
        <v>-41.973185443745692</v>
      </c>
      <c r="AG48" s="22">
        <f t="shared" si="58"/>
        <v>-42.042800725749537</v>
      </c>
      <c r="AH48" s="22">
        <f t="shared" si="58"/>
        <v>-42.113748639785143</v>
      </c>
      <c r="AI48" s="22">
        <f t="shared" si="58"/>
        <v>-42.185962571505939</v>
      </c>
      <c r="AJ48" s="22">
        <f t="shared" si="58"/>
        <v>-42.259377817310856</v>
      </c>
      <c r="AK48" s="22">
        <f t="shared" si="58"/>
        <v>-42.333931537908626</v>
      </c>
      <c r="AL48" s="22">
        <f t="shared" si="58"/>
        <v>-42.409562712924412</v>
      </c>
      <c r="AM48" s="22">
        <f t="shared" si="58"/>
        <v>-42.4862120965267</v>
      </c>
      <c r="AN48" s="22">
        <f t="shared" si="58"/>
        <v>-42.56382217405222</v>
      </c>
      <c r="AO48" s="22">
        <f t="shared" si="58"/>
        <v>-42.642337119607689</v>
      </c>
      <c r="AP48" s="22">
        <f t="shared" si="58"/>
        <v>-42.721702754627323</v>
      </c>
      <c r="AQ48" s="22">
        <f t="shared" si="58"/>
        <v>-42.801866507365517</v>
      </c>
      <c r="AR48" s="22">
        <f t="shared" si="58"/>
        <v>-42.882777373304691</v>
      </c>
      <c r="AS48" s="22">
        <f t="shared" si="58"/>
        <v>-42.964385876458465</v>
      </c>
      <c r="AT48" s="22">
        <f t="shared" si="58"/>
        <v>-43.046644031550912</v>
      </c>
      <c r="AU48" s="22">
        <f t="shared" si="58"/>
        <v>-43.129505307053151</v>
      </c>
      <c r="AV48" s="22">
        <f t="shared" si="58"/>
        <v>-43.212924589058503</v>
      </c>
      <c r="AW48" s="22">
        <f t="shared" si="58"/>
        <v>-43.296858145978391</v>
      </c>
      <c r="AX48" s="22">
        <f t="shared" si="58"/>
        <v>-43.381263594041002</v>
      </c>
      <c r="AY48" s="22">
        <f t="shared" si="58"/>
        <v>-43.466099863575621</v>
      </c>
      <c r="AZ48" s="22">
        <f t="shared" si="58"/>
        <v>-43.551327166065427</v>
      </c>
      <c r="BA48" s="22">
        <f t="shared" si="58"/>
        <v>-43.63690696195215</v>
      </c>
      <c r="BB48" s="22">
        <f t="shared" si="58"/>
        <v>-43.722801929176498</v>
      </c>
      <c r="BC48" s="22">
        <f t="shared" si="58"/>
        <v>-43.808975932438031</v>
      </c>
      <c r="BD48" s="22">
        <f t="shared" si="58"/>
        <v>-43.895393993159352</v>
      </c>
      <c r="BE48" s="22">
        <f t="shared" si="58"/>
        <v>-43.982022260138827</v>
      </c>
      <c r="BF48" s="22">
        <f t="shared" si="58"/>
        <v>-44.068827980877323</v>
      </c>
      <c r="BG48" s="22">
        <f t="shared" si="58"/>
        <v>-44.155779473563967</v>
      </c>
      <c r="BH48" s="22">
        <f t="shared" si="58"/>
        <v>-44.242846099706838</v>
      </c>
      <c r="BI48" s="22">
        <f t="shared" si="58"/>
        <v>-44.329998237394278</v>
      </c>
      <c r="BJ48" s="22">
        <f t="shared" si="58"/>
        <v>-44.417207255173501</v>
      </c>
      <c r="BK48" s="22">
        <f t="shared" si="58"/>
        <v>-44.504445486532539</v>
      </c>
      <c r="BL48" s="22">
        <f t="shared" si="58"/>
        <v>-44.591686204972781</v>
      </c>
      <c r="BM48" s="22">
        <f t="shared" si="58"/>
        <v>-44.678903599658888</v>
      </c>
      <c r="BN48" s="22">
        <f t="shared" si="58"/>
        <v>-44.76607275163375</v>
      </c>
      <c r="BO48" s="22">
        <f t="shared" si="58"/>
        <v>-44.853169610585873</v>
      </c>
      <c r="BP48" s="22">
        <f t="shared" si="58"/>
        <v>-44.940170972157311</v>
      </c>
      <c r="BQ48" s="22">
        <f t="shared" si="58"/>
        <v>-45.027054455780146</v>
      </c>
      <c r="BR48" s="22">
        <f t="shared" si="58"/>
        <v>-45.113798483029946</v>
      </c>
      <c r="BS48" s="22">
        <f t="shared" ref="BS48:CL48" si="59">PV($F20,BS$9,1,0)+(PV($G$6,84-BS$9,1,0)/($G$6+1)^BS$9)</f>
        <v>-45.200382256485092</v>
      </c>
      <c r="BT48" s="22">
        <f t="shared" si="59"/>
        <v>-45.286785739080429</v>
      </c>
      <c r="BU48" s="22">
        <f t="shared" si="59"/>
        <v>-45.372989633944798</v>
      </c>
      <c r="BV48" s="22">
        <f t="shared" si="59"/>
        <v>-45.458975364711534</v>
      </c>
      <c r="BW48" s="22">
        <f t="shared" si="59"/>
        <v>-45.544725056291675</v>
      </c>
      <c r="BX48" s="22">
        <f t="shared" si="59"/>
        <v>-45.630221516099624</v>
      </c>
      <c r="BY48" s="22">
        <f t="shared" si="59"/>
        <v>-45.715448215721203</v>
      </c>
      <c r="BZ48" s="22">
        <f t="shared" si="59"/>
        <v>-45.800389273014517</v>
      </c>
      <c r="CA48" s="22">
        <f t="shared" si="59"/>
        <v>-45.885029434633935</v>
      </c>
      <c r="CB48" s="22">
        <f t="shared" si="59"/>
        <v>-45.969354058967866</v>
      </c>
      <c r="CC48" s="22">
        <f t="shared" si="59"/>
        <v>-46.053349099481181</v>
      </c>
      <c r="CD48" s="22">
        <f t="shared" si="59"/>
        <v>-46.137001088453289</v>
      </c>
      <c r="CE48" s="22">
        <f t="shared" si="59"/>
        <v>-46.220297121103172</v>
      </c>
      <c r="CF48" s="22">
        <f t="shared" si="59"/>
        <v>-46.303224840092682</v>
      </c>
      <c r="CG48" s="22">
        <f t="shared" si="59"/>
        <v>-46.385772420399789</v>
      </c>
      <c r="CH48" s="22">
        <f t="shared" si="59"/>
        <v>-46.467928554553517</v>
      </c>
      <c r="CI48" s="22">
        <f t="shared" si="59"/>
        <v>-46.549682438222561</v>
      </c>
      <c r="CJ48" s="22">
        <f t="shared" si="59"/>
        <v>-46.631023756149624</v>
      </c>
      <c r="CK48" s="22">
        <f t="shared" si="59"/>
        <v>-46.711942668423788</v>
      </c>
      <c r="CL48" s="22">
        <f t="shared" si="59"/>
        <v>-46.792429797083578</v>
      </c>
      <c r="CM48" s="22"/>
    </row>
    <row r="49" spans="7:91" hidden="1" x14ac:dyDescent="0.25">
      <c r="G49" s="22">
        <f t="shared" ref="G49:BR49" si="60">PV($F21,G$9,1,0)+(PV($G$6,84-G$9,1,0)/($G$6+1)^G$9)</f>
        <v>-40.905591199248008</v>
      </c>
      <c r="H49" s="22">
        <f t="shared" si="60"/>
        <v>-40.912608712577047</v>
      </c>
      <c r="I49" s="22">
        <f t="shared" si="60"/>
        <v>-40.922950429292278</v>
      </c>
      <c r="J49" s="22">
        <f t="shared" si="60"/>
        <v>-40.936497643066879</v>
      </c>
      <c r="K49" s="22">
        <f t="shared" si="60"/>
        <v>-40.95313479893656</v>
      </c>
      <c r="L49" s="22">
        <f t="shared" si="60"/>
        <v>-40.972749418904762</v>
      </c>
      <c r="M49" s="22">
        <f t="shared" si="60"/>
        <v>-40.995232029198121</v>
      </c>
      <c r="N49" s="22">
        <f t="shared" si="60"/>
        <v>-41.020476089136622</v>
      </c>
      <c r="O49" s="22">
        <f t="shared" si="60"/>
        <v>-41.048377921584091</v>
      </c>
      <c r="P49" s="22">
        <f t="shared" si="60"/>
        <v>-41.078836644945312</v>
      </c>
      <c r="Q49" s="22">
        <f t="shared" si="60"/>
        <v>-41.111754106676528</v>
      </c>
      <c r="R49" s="22">
        <f t="shared" si="60"/>
        <v>-41.14703481827712</v>
      </c>
      <c r="S49" s="22">
        <f t="shared" si="60"/>
        <v>-41.184585891730592</v>
      </c>
      <c r="T49" s="22">
        <f t="shared" si="60"/>
        <v>-41.224316977363912</v>
      </c>
      <c r="U49" s="22">
        <f t="shared" si="60"/>
        <v>-41.266140203094864</v>
      </c>
      <c r="V49" s="22">
        <f t="shared" si="60"/>
        <v>-41.30997011503743</v>
      </c>
      <c r="W49" s="22">
        <f t="shared" si="60"/>
        <v>-41.355723619436347</v>
      </c>
      <c r="X49" s="22">
        <f t="shared" si="60"/>
        <v>-41.403319925902032</v>
      </c>
      <c r="Y49" s="22">
        <f t="shared" si="60"/>
        <v>-41.452680491918116</v>
      </c>
      <c r="Z49" s="22">
        <f t="shared" si="60"/>
        <v>-41.503728968594196</v>
      </c>
      <c r="AA49" s="22">
        <f t="shared" si="60"/>
        <v>-41.556391147636951</v>
      </c>
      <c r="AB49" s="22">
        <f t="shared" si="60"/>
        <v>-41.61059490951348</v>
      </c>
      <c r="AC49" s="22">
        <f t="shared" si="60"/>
        <v>-41.666270172781111</v>
      </c>
      <c r="AD49" s="22">
        <f t="shared" si="60"/>
        <v>-41.723348844558714</v>
      </c>
      <c r="AE49" s="22">
        <f t="shared" si="60"/>
        <v>-41.781764772114641</v>
      </c>
      <c r="AF49" s="22">
        <f t="shared" si="60"/>
        <v>-41.841453695547401</v>
      </c>
      <c r="AG49" s="22">
        <f t="shared" si="60"/>
        <v>-41.902353201535504</v>
      </c>
      <c r="AH49" s="22">
        <f t="shared" si="60"/>
        <v>-41.964402678133155</v>
      </c>
      <c r="AI49" s="22">
        <f t="shared" si="60"/>
        <v>-42.027543270589462</v>
      </c>
      <c r="AJ49" s="22">
        <f t="shared" si="60"/>
        <v>-42.091717838168826</v>
      </c>
      <c r="AK49" s="22">
        <f t="shared" si="60"/>
        <v>-42.156870911950946</v>
      </c>
      <c r="AL49" s="22">
        <f t="shared" si="60"/>
        <v>-42.222948653589214</v>
      </c>
      <c r="AM49" s="22">
        <f t="shared" si="60"/>
        <v>-42.289898815006623</v>
      </c>
      <c r="AN49" s="22">
        <f t="shared" si="60"/>
        <v>-42.357670699009049</v>
      </c>
      <c r="AO49" s="22">
        <f t="shared" si="60"/>
        <v>-42.426215120795845</v>
      </c>
      <c r="AP49" s="22">
        <f t="shared" si="60"/>
        <v>-42.495484370348315</v>
      </c>
      <c r="AQ49" s="22">
        <f t="shared" si="60"/>
        <v>-42.56543217567701</v>
      </c>
      <c r="AR49" s="22">
        <f t="shared" si="60"/>
        <v>-42.636013666909136</v>
      </c>
      <c r="AS49" s="22">
        <f t="shared" si="60"/>
        <v>-42.707185341197857</v>
      </c>
      <c r="AT49" s="22">
        <f t="shared" si="60"/>
        <v>-42.77890502843546</v>
      </c>
      <c r="AU49" s="22">
        <f t="shared" si="60"/>
        <v>-42.851131857753089</v>
      </c>
      <c r="AV49" s="22">
        <f t="shared" si="60"/>
        <v>-42.923826224789693</v>
      </c>
      <c r="AW49" s="22">
        <f t="shared" si="60"/>
        <v>-42.996949759713495</v>
      </c>
      <c r="AX49" s="22">
        <f t="shared" si="60"/>
        <v>-43.070465295979531</v>
      </c>
      <c r="AY49" s="22">
        <f t="shared" si="60"/>
        <v>-43.144336839807252</v>
      </c>
      <c r="AZ49" s="22">
        <f t="shared" si="60"/>
        <v>-43.218529540362262</v>
      </c>
      <c r="BA49" s="22">
        <f t="shared" si="60"/>
        <v>-43.293009660627021</v>
      </c>
      <c r="BB49" s="22">
        <f t="shared" si="60"/>
        <v>-43.36774454894524</v>
      </c>
      <c r="BC49" s="22">
        <f t="shared" si="60"/>
        <v>-43.442702611225222</v>
      </c>
      <c r="BD49" s="22">
        <f t="shared" si="60"/>
        <v>-43.517853283787915</v>
      </c>
      <c r="BE49" s="22">
        <f t="shared" si="60"/>
        <v>-43.593167006845128</v>
      </c>
      <c r="BF49" s="22">
        <f t="shared" si="60"/>
        <v>-43.66861519859453</v>
      </c>
      <c r="BG49" s="22">
        <f t="shared" si="60"/>
        <v>-43.744170229917458</v>
      </c>
      <c r="BH49" s="22">
        <f t="shared" si="60"/>
        <v>-43.819805399666613</v>
      </c>
      <c r="BI49" s="22">
        <f t="shared" si="60"/>
        <v>-43.89549491053036</v>
      </c>
      <c r="BJ49" s="22">
        <f t="shared" si="60"/>
        <v>-43.971213845461222</v>
      </c>
      <c r="BK49" s="22">
        <f t="shared" si="60"/>
        <v>-44.046938144655869</v>
      </c>
      <c r="BL49" s="22">
        <f t="shared" si="60"/>
        <v>-44.122644583074624</v>
      </c>
      <c r="BM49" s="22">
        <f t="shared" si="60"/>
        <v>-44.198310748488403</v>
      </c>
      <c r="BN49" s="22">
        <f t="shared" si="60"/>
        <v>-44.273915020041649</v>
      </c>
      <c r="BO49" s="22">
        <f t="shared" si="60"/>
        <v>-44.349436547319598</v>
      </c>
      <c r="BP49" s="22">
        <f t="shared" si="60"/>
        <v>-44.424855229908871</v>
      </c>
      <c r="BQ49" s="22">
        <f t="shared" si="60"/>
        <v>-44.500151697440472</v>
      </c>
      <c r="BR49" s="22">
        <f t="shared" si="60"/>
        <v>-44.575307290104355</v>
      </c>
      <c r="BS49" s="22">
        <f t="shared" ref="BS49:CL49" si="61">PV($F21,BS$9,1,0)+(PV($G$6,84-BS$9,1,0)/($G$6+1)^BS$9)</f>
        <v>-44.65030403962529</v>
      </c>
      <c r="BT49" s="22">
        <f t="shared" si="61"/>
        <v>-44.725124650689565</v>
      </c>
      <c r="BU49" s="22">
        <f t="shared" si="61"/>
        <v>-44.7997524828127</v>
      </c>
      <c r="BV49" s="22">
        <f t="shared" si="61"/>
        <v>-44.874171532638201</v>
      </c>
      <c r="BW49" s="22">
        <f t="shared" si="61"/>
        <v>-44.948366416657905</v>
      </c>
      <c r="BX49" s="22">
        <f t="shared" si="61"/>
        <v>-45.022322354344347</v>
      </c>
      <c r="BY49" s="22">
        <f t="shared" si="61"/>
        <v>-45.096025151686113</v>
      </c>
      <c r="BZ49" s="22">
        <f t="shared" si="61"/>
        <v>-45.169461185117079</v>
      </c>
      <c r="CA49" s="22">
        <f t="shared" si="61"/>
        <v>-45.242617385830776</v>
      </c>
      <c r="CB49" s="22">
        <f t="shared" si="61"/>
        <v>-45.315481224471299</v>
      </c>
      <c r="CC49" s="22">
        <f t="shared" si="61"/>
        <v>-45.388040696192178</v>
      </c>
      <c r="CD49" s="22">
        <f t="shared" si="61"/>
        <v>-45.460284306075181</v>
      </c>
      <c r="CE49" s="22">
        <f t="shared" si="61"/>
        <v>-45.532201054900845</v>
      </c>
      <c r="CF49" s="22">
        <f t="shared" si="61"/>
        <v>-45.603780425262777</v>
      </c>
      <c r="CG49" s="22">
        <f t="shared" si="61"/>
        <v>-45.675012368018173</v>
      </c>
      <c r="CH49" s="22">
        <f t="shared" si="61"/>
        <v>-45.74588728906685</v>
      </c>
      <c r="CI49" s="22">
        <f t="shared" si="61"/>
        <v>-45.816396036451437</v>
      </c>
      <c r="CJ49" s="22">
        <f t="shared" si="61"/>
        <v>-45.886529887771516</v>
      </c>
      <c r="CK49" s="22">
        <f t="shared" si="61"/>
        <v>-45.956280537904526</v>
      </c>
      <c r="CL49" s="22">
        <f t="shared" si="61"/>
        <v>-46.025640087026687</v>
      </c>
      <c r="CM49" s="22"/>
    </row>
    <row r="50" spans="7:91" hidden="1" x14ac:dyDescent="0.25">
      <c r="G50" s="22">
        <f t="shared" ref="G50:BR50" si="62">PV($F22,G$9,1,0)+(PV($G$6,84-G$9,1,0)/($G$6+1)^G$9)</f>
        <v>-40.905107061536</v>
      </c>
      <c r="H50" s="22">
        <f t="shared" si="62"/>
        <v>-40.91117178226223</v>
      </c>
      <c r="I50" s="22">
        <f t="shared" si="62"/>
        <v>-40.920107162918875</v>
      </c>
      <c r="J50" s="22">
        <f t="shared" si="62"/>
        <v>-40.931809245147207</v>
      </c>
      <c r="K50" s="22">
        <f t="shared" si="62"/>
        <v>-40.946176866244919</v>
      </c>
      <c r="L50" s="22">
        <f t="shared" si="62"/>
        <v>-40.963111592377047</v>
      </c>
      <c r="M50" s="22">
        <f t="shared" si="62"/>
        <v>-40.982517653284589</v>
      </c>
      <c r="N50" s="22">
        <f t="shared" si="62"/>
        <v>-41.004301878458769</v>
      </c>
      <c r="O50" s="22">
        <f t="shared" si="62"/>
        <v>-41.028373634748725</v>
      </c>
      <c r="P50" s="22">
        <f t="shared" si="62"/>
        <v>-41.054644765372615</v>
      </c>
      <c r="Q50" s="22">
        <f t="shared" si="62"/>
        <v>-41.08302953030077</v>
      </c>
      <c r="R50" s="22">
        <f t="shared" si="62"/>
        <v>-41.113444547982034</v>
      </c>
      <c r="S50" s="22">
        <f t="shared" si="62"/>
        <v>-41.145808738383828</v>
      </c>
      <c r="T50" s="22">
        <f t="shared" si="62"/>
        <v>-41.180043267317679</v>
      </c>
      <c r="U50" s="22">
        <f t="shared" si="62"/>
        <v>-41.216071492022223</v>
      </c>
      <c r="V50" s="22">
        <f t="shared" si="62"/>
        <v>-41.253818907976679</v>
      </c>
      <c r="W50" s="22">
        <f t="shared" si="62"/>
        <v>-41.293213096917796</v>
      </c>
      <c r="X50" s="22">
        <f t="shared" si="62"/>
        <v>-41.334183676034485</v>
      </c>
      <c r="Y50" s="22">
        <f t="shared" si="62"/>
        <v>-41.376662248314318</v>
      </c>
      <c r="Z50" s="22">
        <f t="shared" si="62"/>
        <v>-41.420582354017029</v>
      </c>
      <c r="AA50" s="22">
        <f t="shared" si="62"/>
        <v>-41.465879423250449</v>
      </c>
      <c r="AB50" s="22">
        <f t="shared" si="62"/>
        <v>-41.512490729624957</v>
      </c>
      <c r="AC50" s="22">
        <f t="shared" si="62"/>
        <v>-41.560355344962822</v>
      </c>
      <c r="AD50" s="22">
        <f t="shared" si="62"/>
        <v>-41.609414095039824</v>
      </c>
      <c r="AE50" s="22">
        <f t="shared" si="62"/>
        <v>-41.659609516336083</v>
      </c>
      <c r="AF50" s="22">
        <f t="shared" si="62"/>
        <v>-41.710885813774794</v>
      </c>
      <c r="AG50" s="22">
        <f t="shared" si="62"/>
        <v>-41.763188819426645</v>
      </c>
      <c r="AH50" s="22">
        <f t="shared" si="62"/>
        <v>-41.816465952159305</v>
      </c>
      <c r="AI50" s="22">
        <f t="shared" si="62"/>
        <v>-41.870666178211152</v>
      </c>
      <c r="AJ50" s="22">
        <f t="shared" si="62"/>
        <v>-41.925739972669014</v>
      </c>
      <c r="AK50" s="22">
        <f t="shared" si="62"/>
        <v>-41.981639281830162</v>
      </c>
      <c r="AL50" s="22">
        <f t="shared" si="62"/>
        <v>-42.038317486429357</v>
      </c>
      <c r="AM50" s="22">
        <f t="shared" si="62"/>
        <v>-42.095729365711691</v>
      </c>
      <c r="AN50" s="22">
        <f t="shared" si="62"/>
        <v>-42.153831062333005</v>
      </c>
      <c r="AO50" s="22">
        <f t="shared" si="62"/>
        <v>-42.212580048069526</v>
      </c>
      <c r="AP50" s="22">
        <f t="shared" si="62"/>
        <v>-42.271935090319005</v>
      </c>
      <c r="AQ50" s="22">
        <f t="shared" si="62"/>
        <v>-42.331856219375993</v>
      </c>
      <c r="AR50" s="22">
        <f t="shared" si="62"/>
        <v>-42.392304696464294</v>
      </c>
      <c r="AS50" s="22">
        <f t="shared" si="62"/>
        <v>-42.453242982509778</v>
      </c>
      <c r="AT50" s="22">
        <f t="shared" si="62"/>
        <v>-42.514634707637427</v>
      </c>
      <c r="AU50" s="22">
        <f t="shared" si="62"/>
        <v>-42.576444641376504</v>
      </c>
      <c r="AV50" s="22">
        <f t="shared" si="62"/>
        <v>-42.63863866355851</v>
      </c>
      <c r="AW50" s="22">
        <f t="shared" si="62"/>
        <v>-42.701183735892172</v>
      </c>
      <c r="AX50" s="22">
        <f t="shared" si="62"/>
        <v>-42.76404787420104</v>
      </c>
      <c r="AY50" s="22">
        <f t="shared" si="62"/>
        <v>-42.827200121308657</v>
      </c>
      <c r="AZ50" s="22">
        <f t="shared" si="62"/>
        <v>-42.890610520557281</v>
      </c>
      <c r="BA50" s="22">
        <f t="shared" si="62"/>
        <v>-42.954250089945774</v>
      </c>
      <c r="BB50" s="22">
        <f t="shared" si="62"/>
        <v>-43.018090796873466</v>
      </c>
      <c r="BC50" s="22">
        <f t="shared" si="62"/>
        <v>-43.082105533475968</v>
      </c>
      <c r="BD50" s="22">
        <f t="shared" si="62"/>
        <v>-43.146268092540367</v>
      </c>
      <c r="BE50" s="22">
        <f t="shared" si="62"/>
        <v>-43.210553143986438</v>
      </c>
      <c r="BF50" s="22">
        <f t="shared" si="62"/>
        <v>-43.274936211901796</v>
      </c>
      <c r="BG50" s="22">
        <f t="shared" si="62"/>
        <v>-43.339393652118176</v>
      </c>
      <c r="BH50" s="22">
        <f t="shared" si="62"/>
        <v>-43.403902630317269</v>
      </c>
      <c r="BI50" s="22">
        <f t="shared" si="62"/>
        <v>-43.468441100653891</v>
      </c>
      <c r="BJ50" s="22">
        <f t="shared" si="62"/>
        <v>-43.532987784885357</v>
      </c>
      <c r="BK50" s="22">
        <f t="shared" si="62"/>
        <v>-43.597522151995413</v>
      </c>
      <c r="BL50" s="22">
        <f t="shared" si="62"/>
        <v>-43.662024398302009</v>
      </c>
      <c r="BM50" s="22">
        <f t="shared" si="62"/>
        <v>-43.726475428037766</v>
      </c>
      <c r="BN50" s="22">
        <f t="shared" si="62"/>
        <v>-43.790856834392933</v>
      </c>
      <c r="BO50" s="22">
        <f t="shared" si="62"/>
        <v>-43.855150881010175</v>
      </c>
      <c r="BP50" s="22">
        <f t="shared" si="62"/>
        <v>-43.919340483921232</v>
      </c>
      <c r="BQ50" s="22">
        <f t="shared" si="62"/>
        <v>-43.983409193915513</v>
      </c>
      <c r="BR50" s="22">
        <f t="shared" si="62"/>
        <v>-44.0473411793309</v>
      </c>
      <c r="BS50" s="22">
        <f t="shared" ref="BS50:CL50" si="63">PV($F22,BS$9,1,0)+(PV($G$6,84-BS$9,1,0)/($G$6+1)^BS$9)</f>
        <v>-44.111121209257362</v>
      </c>
      <c r="BT50" s="22">
        <f t="shared" si="63"/>
        <v>-44.174734637144027</v>
      </c>
      <c r="BU50" s="22">
        <f t="shared" si="63"/>
        <v>-44.238167384800576</v>
      </c>
      <c r="BV50" s="22">
        <f t="shared" si="63"/>
        <v>-44.301405926784312</v>
      </c>
      <c r="BW50" s="22">
        <f t="shared" si="63"/>
        <v>-44.364437275163887</v>
      </c>
      <c r="BX50" s="22">
        <f t="shared" si="63"/>
        <v>-44.427248964651561</v>
      </c>
      <c r="BY50" s="22">
        <f t="shared" si="63"/>
        <v>-44.489829038095216</v>
      </c>
      <c r="BZ50" s="22">
        <f t="shared" si="63"/>
        <v>-44.552166032322539</v>
      </c>
      <c r="CA50" s="22">
        <f t="shared" si="63"/>
        <v>-44.614248964328866</v>
      </c>
      <c r="CB50" s="22">
        <f t="shared" si="63"/>
        <v>-44.676067317801333</v>
      </c>
      <c r="CC50" s="22">
        <f t="shared" si="63"/>
        <v>-44.737611029971418</v>
      </c>
      <c r="CD50" s="22">
        <f t="shared" si="63"/>
        <v>-44.7988704787887</v>
      </c>
      <c r="CE50" s="22">
        <f t="shared" si="63"/>
        <v>-44.859836470408133</v>
      </c>
      <c r="CF50" s="22">
        <f t="shared" si="63"/>
        <v>-44.920500226984231</v>
      </c>
      <c r="CG50" s="22">
        <f t="shared" si="63"/>
        <v>-44.980853374764692</v>
      </c>
      <c r="CH50" s="22">
        <f t="shared" si="63"/>
        <v>-45.040887932477006</v>
      </c>
      <c r="CI50" s="22">
        <f t="shared" si="63"/>
        <v>-45.100596300001115</v>
      </c>
      <c r="CJ50" s="22">
        <f t="shared" si="63"/>
        <v>-45.159971247321785</v>
      </c>
      <c r="CK50" s="22">
        <f t="shared" si="63"/>
        <v>-45.219005903754066</v>
      </c>
      <c r="CL50" s="22">
        <f t="shared" si="63"/>
        <v>-45.277693747435954</v>
      </c>
      <c r="CM50" s="22"/>
    </row>
    <row r="51" spans="7:91" hidden="1" x14ac:dyDescent="0.25">
      <c r="G51" s="22">
        <f t="shared" ref="G51:BR51" si="64">PV($F23,G$9,1,0)+(PV($G$6,84-G$9,1,0)/($G$6+1)^G$9)</f>
        <v>-40.904623399868939</v>
      </c>
      <c r="H51" s="22">
        <f t="shared" si="64"/>
        <v>-40.909736732945696</v>
      </c>
      <c r="I51" s="22">
        <f t="shared" si="64"/>
        <v>-40.917268541840116</v>
      </c>
      <c r="J51" s="22">
        <f t="shared" si="64"/>
        <v>-40.927130024899661</v>
      </c>
      <c r="K51" s="22">
        <f t="shared" si="64"/>
        <v>-40.939234799438054</v>
      </c>
      <c r="L51" s="22">
        <f t="shared" si="64"/>
        <v>-40.953498843244901</v>
      </c>
      <c r="M51" s="22">
        <f t="shared" si="64"/>
        <v>-40.969840437421688</v>
      </c>
      <c r="N51" s="22">
        <f t="shared" si="64"/>
        <v>-40.9881801105157</v>
      </c>
      <c r="O51" s="22">
        <f t="shared" si="64"/>
        <v>-41.008440583922834</v>
      </c>
      <c r="P51" s="22">
        <f t="shared" si="64"/>
        <v>-41.030546718532506</v>
      </c>
      <c r="Q51" s="22">
        <f t="shared" si="64"/>
        <v>-41.054425462586707</v>
      </c>
      <c r="R51" s="22">
        <f t="shared" si="64"/>
        <v>-41.080005800727243</v>
      </c>
      <c r="S51" s="22">
        <f t="shared" si="64"/>
        <v>-41.107218704204868</v>
      </c>
      <c r="T51" s="22">
        <f t="shared" si="64"/>
        <v>-41.13599708222506</v>
      </c>
      <c r="U51" s="22">
        <f t="shared" si="64"/>
        <v>-41.166275734405524</v>
      </c>
      <c r="V51" s="22">
        <f t="shared" si="64"/>
        <v>-41.197991304321015</v>
      </c>
      <c r="W51" s="22">
        <f t="shared" si="64"/>
        <v>-41.231082234111739</v>
      </c>
      <c r="X51" s="22">
        <f t="shared" si="64"/>
        <v>-41.265488720131891</v>
      </c>
      <c r="Y51" s="22">
        <f t="shared" si="64"/>
        <v>-41.301152669615682</v>
      </c>
      <c r="Z51" s="22">
        <f t="shared" si="64"/>
        <v>-41.338017658338323</v>
      </c>
      <c r="AA51" s="22">
        <f t="shared" si="64"/>
        <v>-41.376028889250236</v>
      </c>
      <c r="AB51" s="22">
        <f t="shared" si="64"/>
        <v>-41.415133152063049</v>
      </c>
      <c r="AC51" s="22">
        <f t="shared" si="64"/>
        <v>-41.455278783766396</v>
      </c>
      <c r="AD51" s="22">
        <f t="shared" si="64"/>
        <v>-41.49641563005521</v>
      </c>
      <c r="AE51" s="22">
        <f t="shared" si="64"/>
        <v>-41.538495007647072</v>
      </c>
      <c r="AF51" s="22">
        <f t="shared" si="64"/>
        <v>-41.581469667470529</v>
      </c>
      <c r="AG51" s="22">
        <f t="shared" si="64"/>
        <v>-41.625293758704643</v>
      </c>
      <c r="AH51" s="22">
        <f t="shared" si="64"/>
        <v>-41.669922793651374</v>
      </c>
      <c r="AI51" s="22">
        <f t="shared" si="64"/>
        <v>-41.715313613422133</v>
      </c>
      <c r="AJ51" s="22">
        <f t="shared" si="64"/>
        <v>-41.761424354420697</v>
      </c>
      <c r="AK51" s="22">
        <f t="shared" si="64"/>
        <v>-41.808214415604766</v>
      </c>
      <c r="AL51" s="22">
        <f t="shared" si="64"/>
        <v>-41.85564442650896</v>
      </c>
      <c r="AM51" s="22">
        <f t="shared" si="64"/>
        <v>-41.903676216012386</v>
      </c>
      <c r="AN51" s="22">
        <f t="shared" si="64"/>
        <v>-41.952272781834253</v>
      </c>
      <c r="AO51" s="22">
        <f t="shared" si="64"/>
        <v>-42.00139826074146</v>
      </c>
      <c r="AP51" s="22">
        <f t="shared" si="64"/>
        <v>-42.051017899452205</v>
      </c>
      <c r="AQ51" s="22">
        <f t="shared" si="64"/>
        <v>-42.101098026220313</v>
      </c>
      <c r="AR51" s="22">
        <f t="shared" si="64"/>
        <v>-42.151606023085115</v>
      </c>
      <c r="AS51" s="22">
        <f t="shared" si="64"/>
        <v>-42.202510298771898</v>
      </c>
      <c r="AT51" s="22">
        <f t="shared" si="64"/>
        <v>-42.253780262228744</v>
      </c>
      <c r="AU51" s="22">
        <f t="shared" si="64"/>
        <v>-42.305386296785315</v>
      </c>
      <c r="AV51" s="22">
        <f t="shared" si="64"/>
        <v>-42.35729973491987</v>
      </c>
      <c r="AW51" s="22">
        <f t="shared" si="64"/>
        <v>-42.409492833620867</v>
      </c>
      <c r="AX51" s="22">
        <f t="shared" si="64"/>
        <v>-42.461938750329907</v>
      </c>
      <c r="AY51" s="22">
        <f t="shared" si="64"/>
        <v>-42.514611519453005</v>
      </c>
      <c r="AZ51" s="22">
        <f t="shared" si="64"/>
        <v>-42.567486029427542</v>
      </c>
      <c r="BA51" s="22">
        <f t="shared" si="64"/>
        <v>-42.620538000332303</v>
      </c>
      <c r="BB51" s="22">
        <f t="shared" si="64"/>
        <v>-42.673743962028666</v>
      </c>
      <c r="BC51" s="22">
        <f t="shared" si="64"/>
        <v>-42.727081232820844</v>
      </c>
      <c r="BD51" s="22">
        <f t="shared" si="64"/>
        <v>-42.780527898623561</v>
      </c>
      <c r="BE51" s="22">
        <f t="shared" si="64"/>
        <v>-42.834062792625879</v>
      </c>
      <c r="BF51" s="22">
        <f t="shared" si="64"/>
        <v>-42.887665475439952</v>
      </c>
      <c r="BG51" s="22">
        <f t="shared" si="64"/>
        <v>-42.941316215723702</v>
      </c>
      <c r="BH51" s="22">
        <f t="shared" si="64"/>
        <v>-42.994995971267002</v>
      </c>
      <c r="BI51" s="22">
        <f t="shared" si="64"/>
        <v>-43.048686370530575</v>
      </c>
      <c r="BJ51" s="22">
        <f t="shared" si="64"/>
        <v>-43.102369694627804</v>
      </c>
      <c r="BK51" s="22">
        <f t="shared" si="64"/>
        <v>-43.15602885973906</v>
      </c>
      <c r="BL51" s="22">
        <f t="shared" si="64"/>
        <v>-43.20964739994912</v>
      </c>
      <c r="BM51" s="22">
        <f t="shared" si="64"/>
        <v>-43.263209450497818</v>
      </c>
      <c r="BN51" s="22">
        <f t="shared" si="64"/>
        <v>-43.316699731434817</v>
      </c>
      <c r="BO51" s="22">
        <f t="shared" si="64"/>
        <v>-43.370103531669201</v>
      </c>
      <c r="BP51" s="22">
        <f t="shared" si="64"/>
        <v>-43.423406693405013</v>
      </c>
      <c r="BQ51" s="22">
        <f t="shared" si="64"/>
        <v>-43.476595596953914</v>
      </c>
      <c r="BR51" s="22">
        <f t="shared" si="64"/>
        <v>-43.52965714591646</v>
      </c>
      <c r="BS51" s="22">
        <f t="shared" ref="BS51:CL51" si="65">PV($F23,BS$9,1,0)+(PV($G$6,84-BS$9,1,0)/($G$6+1)^BS$9)</f>
        <v>-43.582578752723641</v>
      </c>
      <c r="BT51" s="22">
        <f t="shared" si="65"/>
        <v>-43.635348324530383</v>
      </c>
      <c r="BU51" s="22">
        <f t="shared" si="65"/>
        <v>-43.687954249453078</v>
      </c>
      <c r="BV51" s="22">
        <f t="shared" si="65"/>
        <v>-43.740385383143263</v>
      </c>
      <c r="BW51" s="22">
        <f t="shared" si="65"/>
        <v>-43.79263103568988</v>
      </c>
      <c r="BX51" s="22">
        <f t="shared" si="65"/>
        <v>-43.844680958842446</v>
      </c>
      <c r="BY51" s="22">
        <f t="shared" si="65"/>
        <v>-43.896525333547849</v>
      </c>
      <c r="BZ51" s="22">
        <f t="shared" si="65"/>
        <v>-43.948154757793802</v>
      </c>
      <c r="CA51" s="22">
        <f t="shared" si="65"/>
        <v>-43.999560234751527</v>
      </c>
      <c r="CB51" s="22">
        <f t="shared" si="65"/>
        <v>-44.050733161211241</v>
      </c>
      <c r="CC51" s="22">
        <f t="shared" si="65"/>
        <v>-44.101665316303382</v>
      </c>
      <c r="CD51" s="22">
        <f t="shared" si="65"/>
        <v>-44.152348850499259</v>
      </c>
      <c r="CE51" s="22">
        <f t="shared" si="65"/>
        <v>-44.202776274884492</v>
      </c>
      <c r="CF51" s="22">
        <f t="shared" si="65"/>
        <v>-44.252940450699136</v>
      </c>
      <c r="CG51" s="22">
        <f t="shared" si="65"/>
        <v>-44.302834579138249</v>
      </c>
      <c r="CH51" s="22">
        <f t="shared" si="65"/>
        <v>-44.352452191406947</v>
      </c>
      <c r="CI51" s="22">
        <f t="shared" si="65"/>
        <v>-44.401787139023988</v>
      </c>
      <c r="CJ51" s="22">
        <f t="shared" si="65"/>
        <v>-44.450833584368247</v>
      </c>
      <c r="CK51" s="22">
        <f t="shared" si="65"/>
        <v>-44.499585991462361</v>
      </c>
      <c r="CL51" s="22">
        <f t="shared" si="65"/>
        <v>-44.548039116988143</v>
      </c>
      <c r="CM51" s="22"/>
    </row>
    <row r="52" spans="7:91" hidden="1" x14ac:dyDescent="0.25">
      <c r="G52" s="22">
        <f t="shared" ref="G52:BR52" si="66">PV($F24,G$9,1,0)+(PV($G$6,84-G$9,1,0)/($G$6+1)^G$9)</f>
        <v>-40.904140213545055</v>
      </c>
      <c r="H52" s="22">
        <f t="shared" si="66"/>
        <v>-40.9083035611648</v>
      </c>
      <c r="I52" s="22">
        <f t="shared" si="66"/>
        <v>-40.914434555804831</v>
      </c>
      <c r="J52" s="22">
        <f t="shared" si="66"/>
        <v>-40.922459958719656</v>
      </c>
      <c r="K52" s="22">
        <f t="shared" si="66"/>
        <v>-40.932308551927875</v>
      </c>
      <c r="L52" s="22">
        <f t="shared" si="66"/>
        <v>-40.943911088752387</v>
      </c>
      <c r="M52" s="22">
        <f t="shared" si="66"/>
        <v>-40.9572002454954</v>
      </c>
      <c r="N52" s="22">
        <f t="shared" si="66"/>
        <v>-40.972110574223315</v>
      </c>
      <c r="O52" s="22">
        <f t="shared" si="66"/>
        <v>-40.988578456636517</v>
      </c>
      <c r="P52" s="22">
        <f t="shared" si="66"/>
        <v>-41.006542059000928</v>
      </c>
      <c r="Q52" s="22">
        <f t="shared" si="66"/>
        <v>-41.025941288117139</v>
      </c>
      <c r="R52" s="22">
        <f t="shared" si="66"/>
        <v>-41.046717748304651</v>
      </c>
      <c r="S52" s="22">
        <f t="shared" si="66"/>
        <v>-41.068814699378613</v>
      </c>
      <c r="T52" s="22">
        <f t="shared" si="66"/>
        <v>-41.09217701559713</v>
      </c>
      <c r="U52" s="22">
        <f t="shared" si="66"/>
        <v>-41.116751145557672</v>
      </c>
      <c r="V52" s="22">
        <f t="shared" si="66"/>
        <v>-41.14248507302166</v>
      </c>
      <c r="W52" s="22">
        <f t="shared" si="66"/>
        <v>-41.169328278646333</v>
      </c>
      <c r="X52" s="22">
        <f t="shared" si="66"/>
        <v>-41.197231702604313</v>
      </c>
      <c r="Y52" s="22">
        <f t="shared" si="66"/>
        <v>-41.226147708070584</v>
      </c>
      <c r="Z52" s="22">
        <f t="shared" si="66"/>
        <v>-41.25603004555812</v>
      </c>
      <c r="AA52" s="22">
        <f t="shared" si="66"/>
        <v>-41.286833818082954</v>
      </c>
      <c r="AB52" s="22">
        <f t="shared" si="66"/>
        <v>-41.318515447140456</v>
      </c>
      <c r="AC52" s="22">
        <f t="shared" si="66"/>
        <v>-41.35103263947466</v>
      </c>
      <c r="AD52" s="22">
        <f t="shared" si="66"/>
        <v>-41.38434435462311</v>
      </c>
      <c r="AE52" s="22">
        <f t="shared" si="66"/>
        <v>-41.418410773219691</v>
      </c>
      <c r="AF52" s="22">
        <f t="shared" si="66"/>
        <v>-41.453193266038937</v>
      </c>
      <c r="AG52" s="22">
        <f t="shared" si="66"/>
        <v>-41.48865436376488</v>
      </c>
      <c r="AH52" s="22">
        <f t="shared" si="66"/>
        <v>-41.524757727468497</v>
      </c>
      <c r="AI52" s="22">
        <f t="shared" si="66"/>
        <v>-41.561468119777928</v>
      </c>
      <c r="AJ52" s="22">
        <f t="shared" si="66"/>
        <v>-41.598751376725772</v>
      </c>
      <c r="AK52" s="22">
        <f t="shared" si="66"/>
        <v>-41.636574380258601</v>
      </c>
      <c r="AL52" s="22">
        <f t="shared" si="66"/>
        <v>-41.674905031393649</v>
      </c>
      <c r="AM52" s="22">
        <f t="shared" si="66"/>
        <v>-41.713712224008205</v>
      </c>
      <c r="AN52" s="22">
        <f t="shared" si="66"/>
        <v>-41.752965819247677</v>
      </c>
      <c r="AO52" s="22">
        <f t="shared" si="66"/>
        <v>-41.792636620538218</v>
      </c>
      <c r="AP52" s="22">
        <f t="shared" si="66"/>
        <v>-41.832696349190513</v>
      </c>
      <c r="AQ52" s="22">
        <f t="shared" si="66"/>
        <v>-41.873117620581375</v>
      </c>
      <c r="AR52" s="22">
        <f t="shared" si="66"/>
        <v>-41.913873920900151</v>
      </c>
      <c r="AS52" s="22">
        <f t="shared" si="66"/>
        <v>-41.954939584447246</v>
      </c>
      <c r="AT52" s="22">
        <f t="shared" si="66"/>
        <v>-41.996289771472306</v>
      </c>
      <c r="AU52" s="22">
        <f t="shared" si="66"/>
        <v>-42.037900446539901</v>
      </c>
      <c r="AV52" s="22">
        <f t="shared" si="66"/>
        <v>-42.079748357410885</v>
      </c>
      <c r="AW52" s="22">
        <f t="shared" si="66"/>
        <v>-42.121811014427635</v>
      </c>
      <c r="AX52" s="22">
        <f t="shared" si="66"/>
        <v>-42.16406667039189</v>
      </c>
      <c r="AY52" s="22">
        <f t="shared" si="66"/>
        <v>-42.20649430092412</v>
      </c>
      <c r="AZ52" s="22">
        <f t="shared" si="66"/>
        <v>-42.249073585293289</v>
      </c>
      <c r="BA52" s="22">
        <f t="shared" si="66"/>
        <v>-42.29178488770664</v>
      </c>
      <c r="BB52" s="22">
        <f t="shared" si="66"/>
        <v>-42.334609239048916</v>
      </c>
      <c r="BC52" s="22">
        <f t="shared" si="66"/>
        <v>-42.377528319060751</v>
      </c>
      <c r="BD52" s="22">
        <f t="shared" si="66"/>
        <v>-42.420524438946515</v>
      </c>
      <c r="BE52" s="22">
        <f t="shared" si="66"/>
        <v>-42.463580524401571</v>
      </c>
      <c r="BF52" s="22">
        <f t="shared" si="66"/>
        <v>-42.506680099049582</v>
      </c>
      <c r="BG52" s="22">
        <f t="shared" si="66"/>
        <v>-42.549807268280453</v>
      </c>
      <c r="BH52" s="22">
        <f t="shared" si="66"/>
        <v>-42.59294670347991</v>
      </c>
      <c r="BI52" s="22">
        <f t="shared" si="66"/>
        <v>-42.636083626641451</v>
      </c>
      <c r="BJ52" s="22">
        <f t="shared" si="66"/>
        <v>-42.679203795352521</v>
      </c>
      <c r="BK52" s="22">
        <f t="shared" si="66"/>
        <v>-42.722293488145638</v>
      </c>
      <c r="BL52" s="22">
        <f t="shared" si="66"/>
        <v>-42.765339490206848</v>
      </c>
      <c r="BM52" s="22">
        <f t="shared" si="66"/>
        <v>-42.808329079432724</v>
      </c>
      <c r="BN52" s="22">
        <f t="shared" si="66"/>
        <v>-42.851250012828352</v>
      </c>
      <c r="BO52" s="22">
        <f t="shared" si="66"/>
        <v>-42.894090513238304</v>
      </c>
      <c r="BP52" s="22">
        <f t="shared" si="66"/>
        <v>-42.936839256402891</v>
      </c>
      <c r="BQ52" s="22">
        <f t="shared" si="66"/>
        <v>-42.979485358332425</v>
      </c>
      <c r="BR52" s="22">
        <f t="shared" si="66"/>
        <v>-43.022018362991986</v>
      </c>
      <c r="BS52" s="22">
        <f t="shared" ref="BS52:CL52" si="67">PV($F24,BS$9,1,0)+(PV($G$6,84-BS$9,1,0)/($G$6+1)^BS$9)</f>
        <v>-43.064428230289685</v>
      </c>
      <c r="BT52" s="22">
        <f t="shared" si="67"/>
        <v>-43.106705324361343</v>
      </c>
      <c r="BU52" s="22">
        <f t="shared" si="67"/>
        <v>-43.148840402144835</v>
      </c>
      <c r="BV52" s="22">
        <f t="shared" si="67"/>
        <v>-43.190824602237257</v>
      </c>
      <c r="BW52" s="22">
        <f t="shared" si="67"/>
        <v>-43.232649434028673</v>
      </c>
      <c r="BX52" s="22">
        <f t="shared" si="67"/>
        <v>-43.274306767105671</v>
      </c>
      <c r="BY52" s="22">
        <f t="shared" si="67"/>
        <v>-43.315788820918804</v>
      </c>
      <c r="BZ52" s="22">
        <f t="shared" si="67"/>
        <v>-43.357088154707668</v>
      </c>
      <c r="CA52" s="22">
        <f t="shared" si="67"/>
        <v>-43.398197657677571</v>
      </c>
      <c r="CB52" s="22">
        <f t="shared" si="67"/>
        <v>-43.439110539422117</v>
      </c>
      <c r="CC52" s="22">
        <f t="shared" si="67"/>
        <v>-43.479820320585858</v>
      </c>
      <c r="CD52" s="22">
        <f t="shared" si="67"/>
        <v>-43.520320823761473</v>
      </c>
      <c r="CE52" s="22">
        <f t="shared" si="67"/>
        <v>-43.560606164616047</v>
      </c>
      <c r="CF52" s="22">
        <f t="shared" si="67"/>
        <v>-43.600670743241054</v>
      </c>
      <c r="CG52" s="22">
        <f t="shared" si="67"/>
        <v>-43.640509235720799</v>
      </c>
      <c r="CH52" s="22">
        <f t="shared" si="67"/>
        <v>-43.680116585914362</v>
      </c>
      <c r="CI52" s="22">
        <f t="shared" si="67"/>
        <v>-43.719487997445832</v>
      </c>
      <c r="CJ52" s="22">
        <f t="shared" si="67"/>
        <v>-43.75861892589819</v>
      </c>
      <c r="CK52" s="22">
        <f t="shared" si="67"/>
        <v>-43.797505071205791</v>
      </c>
      <c r="CL52" s="22">
        <f t="shared" si="67"/>
        <v>-43.836142370241156</v>
      </c>
      <c r="CM52" s="22"/>
    </row>
    <row r="53" spans="7:91" hidden="1" x14ac:dyDescent="0.25">
      <c r="G53" s="22">
        <f t="shared" ref="G53:BR53" si="68">PV($F25,G$9,1,0)+(PV($G$6,84-G$9,1,0)/($G$6+1)^G$9)</f>
        <v>-40.903657501863911</v>
      </c>
      <c r="H53" s="22">
        <f t="shared" si="68"/>
        <v>-40.906872263464955</v>
      </c>
      <c r="I53" s="22">
        <f t="shared" si="68"/>
        <v>-40.911605194589853</v>
      </c>
      <c r="J53" s="22">
        <f t="shared" si="68"/>
        <v>-40.917799023076476</v>
      </c>
      <c r="K53" s="22">
        <f t="shared" si="68"/>
        <v>-40.925398077290296</v>
      </c>
      <c r="L53" s="22">
        <f t="shared" si="68"/>
        <v>-40.934348246467223</v>
      </c>
      <c r="M53" s="22">
        <f t="shared" si="68"/>
        <v>-40.944596941977053</v>
      </c>
      <c r="N53" s="22">
        <f t="shared" si="68"/>
        <v>-40.956093059487131</v>
      </c>
      <c r="O53" s="22">
        <f t="shared" si="68"/>
        <v>-40.96878694200587</v>
      </c>
      <c r="P53" s="22">
        <f t="shared" si="68"/>
        <v>-40.982630343786838</v>
      </c>
      <c r="Q53" s="22">
        <f t="shared" si="68"/>
        <v>-40.997576395073835</v>
      </c>
      <c r="R53" s="22">
        <f t="shared" si="68"/>
        <v>-41.013579567668572</v>
      </c>
      <c r="S53" s="22">
        <f t="shared" si="68"/>
        <v>-41.030595641302206</v>
      </c>
      <c r="T53" s="22">
        <f t="shared" si="68"/>
        <v>-41.048581670792828</v>
      </c>
      <c r="U53" s="22">
        <f t="shared" si="68"/>
        <v>-41.067495953971601</v>
      </c>
      <c r="V53" s="22">
        <f t="shared" si="68"/>
        <v>-41.087298000359866</v>
      </c>
      <c r="W53" s="22">
        <f t="shared" si="68"/>
        <v>-41.107948500580761</v>
      </c>
      <c r="X53" s="22">
        <f t="shared" si="68"/>
        <v>-41.12940929648866</v>
      </c>
      <c r="Y53" s="22">
        <f t="shared" si="68"/>
        <v>-41.151643352000399</v>
      </c>
      <c r="Z53" s="22">
        <f t="shared" si="68"/>
        <v>-41.174614724612582</v>
      </c>
      <c r="AA53" s="22">
        <f t="shared" si="68"/>
        <v>-41.198288537589363</v>
      </c>
      <c r="AB53" s="22">
        <f t="shared" si="68"/>
        <v>-41.222630952805893</v>
      </c>
      <c r="AC53" s="22">
        <f t="shared" si="68"/>
        <v>-41.247609144232356</v>
      </c>
      <c r="AD53" s="22">
        <f t="shared" si="68"/>
        <v>-41.273191272044492</v>
      </c>
      <c r="AE53" s="22">
        <f t="shared" si="68"/>
        <v>-41.299346457346246</v>
      </c>
      <c r="AF53" s="22">
        <f t="shared" si="68"/>
        <v>-41.326044757490806</v>
      </c>
      <c r="AG53" s="22">
        <f t="shared" si="68"/>
        <v>-41.353257141986589</v>
      </c>
      <c r="AH53" s="22">
        <f t="shared" si="68"/>
        <v>-41.380955468974861</v>
      </c>
      <c r="AI53" s="22">
        <f t="shared" si="68"/>
        <v>-41.409112462266222</v>
      </c>
      <c r="AJ53" s="22">
        <f t="shared" si="68"/>
        <v>-41.437701688922978</v>
      </c>
      <c r="AK53" s="22">
        <f t="shared" si="68"/>
        <v>-41.46669753737558</v>
      </c>
      <c r="AL53" s="22">
        <f t="shared" si="68"/>
        <v>-41.496075196060502</v>
      </c>
      <c r="AM53" s="22">
        <f t="shared" si="68"/>
        <v>-41.525810632568039</v>
      </c>
      <c r="AN53" s="22">
        <f t="shared" si="68"/>
        <v>-41.555880573288398</v>
      </c>
      <c r="AO53" s="22">
        <f t="shared" si="68"/>
        <v>-41.586262483544694</v>
      </c>
      <c r="AP53" s="22">
        <f t="shared" si="68"/>
        <v>-41.616934548201876</v>
      </c>
      <c r="AQ53" s="22">
        <f t="shared" si="68"/>
        <v>-41.647875652740744</v>
      </c>
      <c r="AR53" s="22">
        <f t="shared" si="68"/>
        <v>-41.67906536478641</v>
      </c>
      <c r="AS53" s="22">
        <f t="shared" si="68"/>
        <v>-41.710483916080889</v>
      </c>
      <c r="AT53" s="22">
        <f t="shared" si="68"/>
        <v>-41.742112184889777</v>
      </c>
      <c r="AU53" s="22">
        <f t="shared" si="68"/>
        <v>-41.773931678832938</v>
      </c>
      <c r="AV53" s="22">
        <f t="shared" si="68"/>
        <v>-41.805924518129757</v>
      </c>
      <c r="AW53" s="22">
        <f t="shared" si="68"/>
        <v>-41.838073419249184</v>
      </c>
      <c r="AX53" s="22">
        <f t="shared" si="68"/>
        <v>-41.870361678955554</v>
      </c>
      <c r="AY53" s="22">
        <f t="shared" si="68"/>
        <v>-41.902773158741198</v>
      </c>
      <c r="AZ53" s="22">
        <f t="shared" si="68"/>
        <v>-41.935292269636534</v>
      </c>
      <c r="BA53" s="22">
        <f t="shared" si="68"/>
        <v>-41.967903957389566</v>
      </c>
      <c r="BB53" s="22">
        <f t="shared" si="68"/>
        <v>-42.000593688005836</v>
      </c>
      <c r="BC53" s="22">
        <f t="shared" si="68"/>
        <v>-42.033347433640962</v>
      </c>
      <c r="BD53" s="22">
        <f t="shared" si="68"/>
        <v>-42.066151658837242</v>
      </c>
      <c r="BE53" s="22">
        <f t="shared" si="68"/>
        <v>-42.098993307096691</v>
      </c>
      <c r="BF53" s="22">
        <f t="shared" si="68"/>
        <v>-42.131859787782794</v>
      </c>
      <c r="BG53" s="22">
        <f t="shared" si="68"/>
        <v>-42.164738963343126</v>
      </c>
      <c r="BH53" s="22">
        <f t="shared" si="68"/>
        <v>-42.197619136845759</v>
      </c>
      <c r="BI53" s="22">
        <f t="shared" si="68"/>
        <v>-42.230489039821933</v>
      </c>
      <c r="BJ53" s="22">
        <f t="shared" si="68"/>
        <v>-42.263337820408132</v>
      </c>
      <c r="BK53" s="22">
        <f t="shared" si="68"/>
        <v>-42.2961550317806</v>
      </c>
      <c r="BL53" s="22">
        <f t="shared" si="68"/>
        <v>-42.328930620875298</v>
      </c>
      <c r="BM53" s="22">
        <f t="shared" si="68"/>
        <v>-42.361654917387057</v>
      </c>
      <c r="BN53" s="22">
        <f t="shared" si="68"/>
        <v>-42.39431862304118</v>
      </c>
      <c r="BO53" s="22">
        <f t="shared" si="68"/>
        <v>-42.426912801131294</v>
      </c>
      <c r="BP53" s="22">
        <f t="shared" si="68"/>
        <v>-42.459428866317161</v>
      </c>
      <c r="BQ53" s="22">
        <f t="shared" si="68"/>
        <v>-42.49185857467657</v>
      </c>
      <c r="BR53" s="22">
        <f t="shared" si="68"/>
        <v>-42.524194014005182</v>
      </c>
      <c r="BS53" s="22">
        <f t="shared" ref="BS53:CL53" si="69">PV($F25,BS$9,1,0)+(PV($G$6,84-BS$9,1,0)/($G$6+1)^BS$9)</f>
        <v>-42.556427594358759</v>
      </c>
      <c r="BT53" s="22">
        <f t="shared" si="69"/>
        <v>-42.588552038832006</v>
      </c>
      <c r="BU53" s="22">
        <f t="shared" si="69"/>
        <v>-42.62056037456842</v>
      </c>
      <c r="BV53" s="22">
        <f t="shared" si="69"/>
        <v>-42.652445923996012</v>
      </c>
      <c r="BW53" s="22">
        <f t="shared" si="69"/>
        <v>-42.684202296283388</v>
      </c>
      <c r="BX53" s="22">
        <f t="shared" si="69"/>
        <v>-42.715823379010999</v>
      </c>
      <c r="BY53" s="22">
        <f t="shared" si="69"/>
        <v>-42.747303330052766</v>
      </c>
      <c r="BZ53" s="22">
        <f t="shared" si="69"/>
        <v>-42.778636569662879</v>
      </c>
      <c r="CA53" s="22">
        <f t="shared" si="69"/>
        <v>-42.809817772763154</v>
      </c>
      <c r="CB53" s="22">
        <f t="shared" si="69"/>
        <v>-42.840841861426043</v>
      </c>
      <c r="CC53" s="22">
        <f t="shared" si="69"/>
        <v>-42.871703997548835</v>
      </c>
      <c r="CD53" s="22">
        <f t="shared" si="69"/>
        <v>-42.90239957571449</v>
      </c>
      <c r="CE53" s="22">
        <f t="shared" si="69"/>
        <v>-42.932924216234724</v>
      </c>
      <c r="CF53" s="22">
        <f t="shared" si="69"/>
        <v>-42.96327375837096</v>
      </c>
      <c r="CG53" s="22">
        <f t="shared" si="69"/>
        <v>-42.993444253729095</v>
      </c>
      <c r="CH53" s="22">
        <f t="shared" si="69"/>
        <v>-43.02343195982376</v>
      </c>
      <c r="CI53" s="22">
        <f t="shared" si="69"/>
        <v>-43.053233333808301</v>
      </c>
      <c r="CJ53" s="22">
        <f t="shared" si="69"/>
        <v>-43.082845026366329</v>
      </c>
      <c r="CK53" s="22">
        <f t="shared" si="69"/>
        <v>-43.11226387576108</v>
      </c>
      <c r="CL53" s="22">
        <f t="shared" si="69"/>
        <v>-43.141486902038956</v>
      </c>
      <c r="CM53" s="22"/>
    </row>
    <row r="54" spans="7:91" hidden="1" x14ac:dyDescent="0.25">
      <c r="G54" s="22">
        <f t="shared" ref="G54:BR54" si="70">PV($F26,G$9,1,0)+(PV($G$6,84-G$9,1,0)/($G$6+1)^G$9)</f>
        <v>-40.903175264126489</v>
      </c>
      <c r="H54" s="22">
        <f t="shared" si="70"/>
        <v>-40.905442836399793</v>
      </c>
      <c r="I54" s="22">
        <f t="shared" si="70"/>
        <v>-40.908780448000208</v>
      </c>
      <c r="J54" s="22">
        <f t="shared" si="70"/>
        <v>-40.913147194513293</v>
      </c>
      <c r="K54" s="22">
        <f t="shared" si="70"/>
        <v>-40.918503329265036</v>
      </c>
      <c r="L54" s="22">
        <f t="shared" si="70"/>
        <v>-40.924810234279853</v>
      </c>
      <c r="M54" s="22">
        <f t="shared" si="70"/>
        <v>-40.932030391920954</v>
      </c>
      <c r="N54" s="22">
        <f t="shared" si="70"/>
        <v>-40.940127357197696</v>
      </c>
      <c r="O54" s="22">
        <f t="shared" si="70"/>
        <v>-40.949065730724648</v>
      </c>
      <c r="P54" s="22">
        <f t="shared" si="70"/>
        <v>-40.958811132318075</v>
      </c>
      <c r="Q54" s="22">
        <f t="shared" si="70"/>
        <v>-40.969330175214999</v>
      </c>
      <c r="R54" s="22">
        <f t="shared" si="70"/>
        <v>-40.980590440901054</v>
      </c>
      <c r="S54" s="22">
        <f t="shared" si="70"/>
        <v>-40.992560454533233</v>
      </c>
      <c r="T54" s="22">
        <f t="shared" si="70"/>
        <v>-41.005209660944097</v>
      </c>
      <c r="U54" s="22">
        <f t="shared" si="70"/>
        <v>-41.018508401214341</v>
      </c>
      <c r="V54" s="22">
        <f t="shared" si="70"/>
        <v>-41.032427889800665</v>
      </c>
      <c r="W54" s="22">
        <f t="shared" si="70"/>
        <v>-41.046940192206549</v>
      </c>
      <c r="X54" s="22">
        <f t="shared" si="70"/>
        <v>-41.062018203183499</v>
      </c>
      <c r="Y54" s="22">
        <f t="shared" si="70"/>
        <v>-41.077635625450654</v>
      </c>
      <c r="Z54" s="22">
        <f t="shared" si="70"/>
        <v>-41.093766948921214</v>
      </c>
      <c r="AA54" s="22">
        <f t="shared" si="70"/>
        <v>-41.110387430423884</v>
      </c>
      <c r="AB54" s="22">
        <f t="shared" si="70"/>
        <v>-41.127473073908192</v>
      </c>
      <c r="AC54" s="22">
        <f t="shared" si="70"/>
        <v>-41.145000611122697</v>
      </c>
      <c r="AD54" s="22">
        <f t="shared" si="70"/>
        <v>-41.162947482755271</v>
      </c>
      <c r="AE54" s="22">
        <f t="shared" si="70"/>
        <v>-41.181291820024853</v>
      </c>
      <c r="AF54" s="22">
        <f t="shared" si="70"/>
        <v>-41.200012426714487</v>
      </c>
      <c r="AG54" s="22">
        <f t="shared" si="70"/>
        <v>-41.21908876163549</v>
      </c>
      <c r="AH54" s="22">
        <f t="shared" si="70"/>
        <v>-41.238500921512845</v>
      </c>
      <c r="AI54" s="22">
        <f t="shared" si="70"/>
        <v>-41.258229624282365</v>
      </c>
      <c r="AJ54" s="22">
        <f t="shared" si="70"/>
        <v>-41.278256192789954</v>
      </c>
      <c r="AK54" s="22">
        <f t="shared" si="70"/>
        <v>-41.298562538883971</v>
      </c>
      <c r="AL54" s="22">
        <f t="shared" si="70"/>
        <v>-41.319131147891568</v>
      </c>
      <c r="AM54" s="22">
        <f t="shared" si="70"/>
        <v>-41.339945063470196</v>
      </c>
      <c r="AN54" s="22">
        <f t="shared" si="70"/>
        <v>-41.36098787282571</v>
      </c>
      <c r="AO54" s="22">
        <f t="shared" si="70"/>
        <v>-41.382243692288618</v>
      </c>
      <c r="AP54" s="22">
        <f t="shared" si="70"/>
        <v>-41.403697153240188</v>
      </c>
      <c r="AQ54" s="22">
        <f t="shared" si="70"/>
        <v>-41.425333388380515</v>
      </c>
      <c r="AR54" s="22">
        <f t="shared" si="70"/>
        <v>-41.447138018330506</v>
      </c>
      <c r="AS54" s="22">
        <f t="shared" si="70"/>
        <v>-41.469097138560088</v>
      </c>
      <c r="AT54" s="22">
        <f t="shared" si="70"/>
        <v>-41.491197306635321</v>
      </c>
      <c r="AU54" s="22">
        <f t="shared" si="70"/>
        <v>-41.51342552977674</v>
      </c>
      <c r="AV54" s="22">
        <f t="shared" si="70"/>
        <v>-41.535769252722012</v>
      </c>
      <c r="AW54" s="22">
        <f t="shared" si="70"/>
        <v>-41.558216345885697</v>
      </c>
      <c r="AX54" s="22">
        <f t="shared" si="70"/>
        <v>-41.580755093809273</v>
      </c>
      <c r="AY54" s="22">
        <f t="shared" si="70"/>
        <v>-41.6033741838948</v>
      </c>
      <c r="AZ54" s="22">
        <f t="shared" si="70"/>
        <v>-41.626062695415406</v>
      </c>
      <c r="BA54" s="22">
        <f t="shared" si="70"/>
        <v>-41.648810088796509</v>
      </c>
      <c r="BB54" s="22">
        <f t="shared" si="70"/>
        <v>-41.671606195161175</v>
      </c>
      <c r="BC54" s="22">
        <f t="shared" si="70"/>
        <v>-41.694441206133639</v>
      </c>
      <c r="BD54" s="22">
        <f t="shared" si="70"/>
        <v>-41.71730566389494</v>
      </c>
      <c r="BE54" s="22">
        <f t="shared" si="70"/>
        <v>-41.740190451484771</v>
      </c>
      <c r="BF54" s="22">
        <f t="shared" si="70"/>
        <v>-41.763086783343923</v>
      </c>
      <c r="BG54" s="22">
        <f t="shared" si="70"/>
        <v>-41.785986196091471</v>
      </c>
      <c r="BH54" s="22">
        <f t="shared" si="70"/>
        <v>-41.808880539531508</v>
      </c>
      <c r="BI54" s="22">
        <f t="shared" si="70"/>
        <v>-41.831761967883793</v>
      </c>
      <c r="BJ54" s="22">
        <f t="shared" si="70"/>
        <v>-41.854622931233365</v>
      </c>
      <c r="BK54" s="22">
        <f t="shared" si="70"/>
        <v>-41.877456167193635</v>
      </c>
      <c r="BL54" s="22">
        <f t="shared" si="70"/>
        <v>-41.900254692778326</v>
      </c>
      <c r="BM54" s="22">
        <f t="shared" si="70"/>
        <v>-41.923011796477006</v>
      </c>
      <c r="BN54" s="22">
        <f t="shared" si="70"/>
        <v>-41.945721030529803</v>
      </c>
      <c r="BO54" s="22">
        <f t="shared" si="70"/>
        <v>-41.968376203396311</v>
      </c>
      <c r="BP54" s="22">
        <f t="shared" si="70"/>
        <v>-41.990971372414165</v>
      </c>
      <c r="BQ54" s="22">
        <f t="shared" si="70"/>
        <v>-42.01350083664309</v>
      </c>
      <c r="BR54" s="22">
        <f t="shared" si="70"/>
        <v>-42.035959129889619</v>
      </c>
      <c r="BS54" s="22">
        <f t="shared" ref="BS54:CL54" si="71">PV($F26,BS$9,1,0)+(PV($G$6,84-BS$9,1,0)/($G$6+1)^BS$9)</f>
        <v>-42.058341013908624</v>
      </c>
      <c r="BT54" s="22">
        <f t="shared" si="71"/>
        <v>-42.080641471777184</v>
      </c>
      <c r="BU54" s="22">
        <f t="shared" si="71"/>
        <v>-42.102855701436887</v>
      </c>
      <c r="BV54" s="22">
        <f t="shared" si="71"/>
        <v>-42.124979109400471</v>
      </c>
      <c r="BW54" s="22">
        <f t="shared" si="71"/>
        <v>-42.147007304619038</v>
      </c>
      <c r="BX54" s="22">
        <f t="shared" si="71"/>
        <v>-42.168936092505952</v>
      </c>
      <c r="BY54" s="22">
        <f t="shared" si="71"/>
        <v>-42.190761469113546</v>
      </c>
      <c r="BZ54" s="22">
        <f t="shared" si="71"/>
        <v>-42.212479615459408</v>
      </c>
      <c r="CA54" s="22">
        <f t="shared" si="71"/>
        <v>-42.234086891998217</v>
      </c>
      <c r="CB54" s="22">
        <f t="shared" si="71"/>
        <v>-42.255579833236034</v>
      </c>
      <c r="CC54" s="22">
        <f t="shared" si="71"/>
        <v>-42.27695514248343</v>
      </c>
      <c r="CD54" s="22">
        <f t="shared" si="71"/>
        <v>-42.298209686744258</v>
      </c>
      <c r="CE54" s="22">
        <f t="shared" si="71"/>
        <v>-42.319340491736682</v>
      </c>
      <c r="CF54" s="22">
        <f t="shared" si="71"/>
        <v>-42.340344737043488</v>
      </c>
      <c r="CG54" s="22">
        <f t="shared" si="71"/>
        <v>-42.361219751388447</v>
      </c>
      <c r="CH54" s="22">
        <f t="shared" si="71"/>
        <v>-42.381963008035719</v>
      </c>
      <c r="CI54" s="22">
        <f t="shared" si="71"/>
        <v>-42.402572120309401</v>
      </c>
      <c r="CJ54" s="22">
        <f t="shared" si="71"/>
        <v>-42.423044837230307</v>
      </c>
      <c r="CK54" s="22">
        <f t="shared" si="71"/>
        <v>-42.443379039267064</v>
      </c>
      <c r="CL54" s="22">
        <f t="shared" si="71"/>
        <v>-42.463572734198962</v>
      </c>
      <c r="CM54" s="22"/>
    </row>
    <row r="55" spans="7:91" hidden="1" x14ac:dyDescent="0.25">
      <c r="G55" s="22">
        <f t="shared" ref="G55:BR55" si="72">PV($F27,G$9,1,0)+(PV($G$6,84-G$9,1,0)/($G$6+1)^G$9)</f>
        <v>-40.902693499635134</v>
      </c>
      <c r="H55" s="22">
        <f t="shared" si="72"/>
        <v>-40.90401527653102</v>
      </c>
      <c r="I55" s="22">
        <f t="shared" si="72"/>
        <v>-40.905960305868838</v>
      </c>
      <c r="J55" s="22">
        <f t="shared" si="72"/>
        <v>-40.908504449646699</v>
      </c>
      <c r="K55" s="22">
        <f t="shared" si="72"/>
        <v>-40.911624261754596</v>
      </c>
      <c r="L55" s="22">
        <f t="shared" si="72"/>
        <v>-40.915296970401634</v>
      </c>
      <c r="M55" s="22">
        <f t="shared" si="72"/>
        <v>-40.919500460961231</v>
      </c>
      <c r="N55" s="22">
        <f t="shared" si="72"/>
        <v>-40.924213259224885</v>
      </c>
      <c r="O55" s="22">
        <f t="shared" si="72"/>
        <v>-40.929414515054702</v>
      </c>
      <c r="P55" s="22">
        <f t="shared" si="72"/>
        <v>-40.935083986426108</v>
      </c>
      <c r="Q55" s="22">
        <f t="shared" si="72"/>
        <v>-40.94120202385141</v>
      </c>
      <c r="R55" s="22">
        <f t="shared" si="72"/>
        <v>-40.947749555175726</v>
      </c>
      <c r="S55" s="22">
        <f t="shared" si="72"/>
        <v>-40.954708070736736</v>
      </c>
      <c r="T55" s="22">
        <f t="shared" si="72"/>
        <v>-40.962059608879798</v>
      </c>
      <c r="U55" s="22">
        <f t="shared" si="72"/>
        <v>-40.969786741820364</v>
      </c>
      <c r="V55" s="22">
        <f t="shared" si="72"/>
        <v>-40.977872561845814</v>
      </c>
      <c r="W55" s="22">
        <f t="shared" si="72"/>
        <v>-40.986300667848766</v>
      </c>
      <c r="X55" s="22">
        <f t="shared" si="72"/>
        <v>-40.995055152184236</v>
      </c>
      <c r="Y55" s="22">
        <f t="shared" si="72"/>
        <v>-41.004120587843452</v>
      </c>
      <c r="Z55" s="22">
        <f t="shared" si="72"/>
        <v>-41.01348201593666</v>
      </c>
      <c r="AA55" s="22">
        <f t="shared" si="72"/>
        <v>-41.023124933478194</v>
      </c>
      <c r="AB55" s="22">
        <f t="shared" si="72"/>
        <v>-41.033035281466518</v>
      </c>
      <c r="AC55" s="22">
        <f t="shared" si="72"/>
        <v>-41.04319943325261</v>
      </c>
      <c r="AD55" s="22">
        <f t="shared" si="72"/>
        <v>-41.053604183190131</v>
      </c>
      <c r="AE55" s="22">
        <f t="shared" si="72"/>
        <v>-41.064236735560577</v>
      </c>
      <c r="AF55" s="22">
        <f t="shared" si="72"/>
        <v>-41.075084693767323</v>
      </c>
      <c r="AG55" s="22">
        <f t="shared" si="72"/>
        <v>-41.086136049792245</v>
      </c>
      <c r="AH55" s="22">
        <f t="shared" si="72"/>
        <v>-41.097379173908834</v>
      </c>
      <c r="AI55" s="22">
        <f t="shared" si="72"/>
        <v>-41.108802804645897</v>
      </c>
      <c r="AJ55" s="22">
        <f t="shared" si="72"/>
        <v>-41.120396038996006</v>
      </c>
      <c r="AK55" s="22">
        <f t="shared" si="72"/>
        <v>-41.132148322862975</v>
      </c>
      <c r="AL55" s="22">
        <f t="shared" si="72"/>
        <v>-41.144049441743022</v>
      </c>
      <c r="AM55" s="22">
        <f t="shared" si="72"/>
        <v>-41.156089511633866</v>
      </c>
      <c r="AN55" s="22">
        <f t="shared" si="72"/>
        <v>-41.168258970166733</v>
      </c>
      <c r="AO55" s="22">
        <f t="shared" si="72"/>
        <v>-41.18054856795596</v>
      </c>
      <c r="AP55" s="22">
        <f t="shared" si="72"/>
        <v>-41.192949360161101</v>
      </c>
      <c r="AQ55" s="22">
        <f t="shared" si="72"/>
        <v>-41.205452698256757</v>
      </c>
      <c r="AR55" s="22">
        <f t="shared" si="72"/>
        <v>-41.218050222005047</v>
      </c>
      <c r="AS55" s="22">
        <f t="shared" si="72"/>
        <v>-41.23073385162612</v>
      </c>
      <c r="AT55" s="22">
        <f t="shared" si="72"/>
        <v>-41.2434957801621</v>
      </c>
      <c r="AU55" s="22">
        <f t="shared" si="72"/>
        <v>-41.256328466029935</v>
      </c>
      <c r="AV55" s="22">
        <f t="shared" si="72"/>
        <v>-41.269224625758625</v>
      </c>
      <c r="AW55" s="22">
        <f t="shared" si="72"/>
        <v>-41.28217722690664</v>
      </c>
      <c r="AX55" s="22">
        <f t="shared" si="72"/>
        <v>-41.295179481155216</v>
      </c>
      <c r="AY55" s="22">
        <f t="shared" si="72"/>
        <v>-41.308224837573476</v>
      </c>
      <c r="AZ55" s="22">
        <f t="shared" si="72"/>
        <v>-41.321306976051289</v>
      </c>
      <c r="BA55" s="22">
        <f t="shared" si="72"/>
        <v>-41.334419800895915</v>
      </c>
      <c r="BB55" s="22">
        <f t="shared" si="72"/>
        <v>-41.347557434588637</v>
      </c>
      <c r="BC55" s="22">
        <f t="shared" si="72"/>
        <v>-41.360714211697584</v>
      </c>
      <c r="BD55" s="22">
        <f t="shared" si="72"/>
        <v>-41.373884672943035</v>
      </c>
      <c r="BE55" s="22">
        <f t="shared" si="72"/>
        <v>-41.387063559411629</v>
      </c>
      <c r="BF55" s="22">
        <f t="shared" si="72"/>
        <v>-41.400245806916054</v>
      </c>
      <c r="BG55" s="22">
        <f t="shared" si="72"/>
        <v>-41.41342654049658</v>
      </c>
      <c r="BH55" s="22">
        <f t="shared" si="72"/>
        <v>-41.426601069061299</v>
      </c>
      <c r="BI55" s="22">
        <f t="shared" si="72"/>
        <v>-41.439764880161547</v>
      </c>
      <c r="BJ55" s="22">
        <f t="shared" si="72"/>
        <v>-41.452913634899666</v>
      </c>
      <c r="BK55" s="22">
        <f t="shared" si="72"/>
        <v>-41.466043162965519</v>
      </c>
      <c r="BL55" s="22">
        <f t="shared" si="72"/>
        <v>-41.479149457799039</v>
      </c>
      <c r="BM55" s="22">
        <f t="shared" si="72"/>
        <v>-41.492228671875694</v>
      </c>
      <c r="BN55" s="22">
        <f t="shared" si="72"/>
        <v>-41.505277112111905</v>
      </c>
      <c r="BO55" s="22">
        <f t="shared" si="72"/>
        <v>-41.518291235387721</v>
      </c>
      <c r="BP55" s="22">
        <f t="shared" si="72"/>
        <v>-41.531267644183693</v>
      </c>
      <c r="BQ55" s="22">
        <f t="shared" si="72"/>
        <v>-41.544203082329489</v>
      </c>
      <c r="BR55" s="22">
        <f t="shared" si="72"/>
        <v>-41.557094430861397</v>
      </c>
      <c r="BS55" s="22">
        <f t="shared" ref="BS55:CL55" si="73">PV($F27,BS$9,1,0)+(PV($G$6,84-BS$9,1,0)/($G$6+1)^BS$9)</f>
        <v>-41.569938703986253</v>
      </c>
      <c r="BT55" s="22">
        <f t="shared" si="73"/>
        <v>-41.582733045149084</v>
      </c>
      <c r="BU55" s="22">
        <f t="shared" si="73"/>
        <v>-41.595474723202145</v>
      </c>
      <c r="BV55" s="22">
        <f t="shared" si="73"/>
        <v>-41.608161128672805</v>
      </c>
      <c r="BW55" s="22">
        <f t="shared" si="73"/>
        <v>-41.620789770127956</v>
      </c>
      <c r="BX55" s="22">
        <f t="shared" si="73"/>
        <v>-41.633358270632669</v>
      </c>
      <c r="BY55" s="22">
        <f t="shared" si="73"/>
        <v>-41.64586436430065</v>
      </c>
      <c r="BZ55" s="22">
        <f t="shared" si="73"/>
        <v>-41.658305892934557</v>
      </c>
      <c r="CA55" s="22">
        <f t="shared" si="73"/>
        <v>-41.670680802753758</v>
      </c>
      <c r="CB55" s="22">
        <f t="shared" si="73"/>
        <v>-41.682987141207612</v>
      </c>
      <c r="CC55" s="22">
        <f t="shared" si="73"/>
        <v>-41.69522305387207</v>
      </c>
      <c r="CD55" s="22">
        <f t="shared" si="73"/>
        <v>-41.707386781427616</v>
      </c>
      <c r="CE55" s="22">
        <f t="shared" si="73"/>
        <v>-41.719476656716644</v>
      </c>
      <c r="CF55" s="22">
        <f t="shared" si="73"/>
        <v>-41.731491101878269</v>
      </c>
      <c r="CG55" s="22">
        <f t="shared" si="73"/>
        <v>-41.743428625558685</v>
      </c>
      <c r="CH55" s="22">
        <f t="shared" si="73"/>
        <v>-41.755287820195342</v>
      </c>
      <c r="CI55" s="22">
        <f t="shared" si="73"/>
        <v>-41.76706735937298</v>
      </c>
      <c r="CJ55" s="22">
        <f t="shared" si="73"/>
        <v>-41.778765995249948</v>
      </c>
      <c r="CK55" s="22">
        <f t="shared" si="73"/>
        <v>-41.790382556052883</v>
      </c>
      <c r="CL55" s="22">
        <f t="shared" si="73"/>
        <v>-41.801915943638335</v>
      </c>
      <c r="CM55" s="22"/>
    </row>
    <row r="56" spans="7:91" hidden="1" x14ac:dyDescent="0.25">
      <c r="G56" s="22">
        <f t="shared" ref="G56:BR56" si="74">PV($F28,G$9,1,0)+(PV($G$6,84-G$9,1,0)/($G$6+1)^G$9)</f>
        <v>-40.902212207693559</v>
      </c>
      <c r="H56" s="22">
        <f t="shared" si="74"/>
        <v>-40.902589580428476</v>
      </c>
      <c r="I56" s="22">
        <f t="shared" si="74"/>
        <v>-40.903144758056598</v>
      </c>
      <c r="J56" s="22">
        <f t="shared" si="74"/>
        <v>-40.903870765166587</v>
      </c>
      <c r="K56" s="22">
        <f t="shared" si="74"/>
        <v>-40.904760828823868</v>
      </c>
      <c r="L56" s="22">
        <f t="shared" si="74"/>
        <v>-40.905808373363605</v>
      </c>
      <c r="M56" s="22">
        <f t="shared" si="74"/>
        <v>-40.907007015309162</v>
      </c>
      <c r="N56" s="22">
        <f t="shared" si="74"/>
        <v>-40.908350558413083</v>
      </c>
      <c r="O56" s="22">
        <f t="shared" si="74"/>
        <v>-40.90983298881752</v>
      </c>
      <c r="P56" s="22">
        <f t="shared" si="74"/>
        <v>-40.911448470331756</v>
      </c>
      <c r="Q56" s="22">
        <f t="shared" si="74"/>
        <v>-40.91319133982374</v>
      </c>
      <c r="R56" s="22">
        <f t="shared" si="74"/>
        <v>-40.915056102723241</v>
      </c>
      <c r="S56" s="22">
        <f t="shared" si="74"/>
        <v>-40.917037428633876</v>
      </c>
      <c r="T56" s="22">
        <f t="shared" si="74"/>
        <v>-40.919130147051582</v>
      </c>
      <c r="U56" s="22">
        <f t="shared" si="74"/>
        <v>-40.921329243187046</v>
      </c>
      <c r="V56" s="22">
        <f t="shared" si="74"/>
        <v>-40.923629853889615</v>
      </c>
      <c r="W56" s="22">
        <f t="shared" si="74"/>
        <v>-40.926027263670477</v>
      </c>
      <c r="X56" s="22">
        <f t="shared" si="74"/>
        <v>-40.928516900822565</v>
      </c>
      <c r="Y56" s="22">
        <f t="shared" si="74"/>
        <v>-40.931094333635166</v>
      </c>
      <c r="Z56" s="22">
        <f t="shared" si="74"/>
        <v>-40.933755266700913</v>
      </c>
      <c r="AA56" s="22">
        <f t="shared" si="74"/>
        <v>-40.936495537313043</v>
      </c>
      <c r="AB56" s="22">
        <f t="shared" si="74"/>
        <v>-40.939311111950772</v>
      </c>
      <c r="AC56" s="22">
        <f t="shared" si="74"/>
        <v>-40.942198082850702</v>
      </c>
      <c r="AD56" s="22">
        <f t="shared" si="74"/>
        <v>-40.94515266466253</v>
      </c>
      <c r="AE56" s="22">
        <f t="shared" si="74"/>
        <v>-40.948171191186546</v>
      </c>
      <c r="AF56" s="22">
        <f t="shared" si="74"/>
        <v>-40.951250112191602</v>
      </c>
      <c r="AG56" s="22">
        <f t="shared" si="74"/>
        <v>-40.954385990311238</v>
      </c>
      <c r="AH56" s="22">
        <f t="shared" si="74"/>
        <v>-40.95757549801629</v>
      </c>
      <c r="AI56" s="22">
        <f t="shared" si="74"/>
        <v>-40.960815414662321</v>
      </c>
      <c r="AJ56" s="22">
        <f t="shared" si="74"/>
        <v>-40.964102623609776</v>
      </c>
      <c r="AK56" s="22">
        <f t="shared" si="74"/>
        <v>-40.967434109415564</v>
      </c>
      <c r="AL56" s="22">
        <f t="shared" si="74"/>
        <v>-40.970806955093977</v>
      </c>
      <c r="AM56" s="22">
        <f t="shared" si="74"/>
        <v>-40.974218339445734</v>
      </c>
      <c r="AN56" s="22">
        <f t="shared" si="74"/>
        <v>-40.97766553445318</v>
      </c>
      <c r="AO56" s="22">
        <f t="shared" si="74"/>
        <v>-40.98114590274028</v>
      </c>
      <c r="AP56" s="22">
        <f t="shared" si="74"/>
        <v>-40.98465689509581</v>
      </c>
      <c r="AQ56" s="22">
        <f t="shared" si="74"/>
        <v>-40.988196048058384</v>
      </c>
      <c r="AR56" s="22">
        <f t="shared" si="74"/>
        <v>-40.991760981561598</v>
      </c>
      <c r="AS56" s="22">
        <f t="shared" si="74"/>
        <v>-40.99534939663814</v>
      </c>
      <c r="AT56" s="22">
        <f t="shared" si="74"/>
        <v>-40.998959073181254</v>
      </c>
      <c r="AU56" s="22">
        <f t="shared" si="74"/>
        <v>-41.002587867762415</v>
      </c>
      <c r="AV56" s="22">
        <f t="shared" si="74"/>
        <v>-41.006233711503683</v>
      </c>
      <c r="AW56" s="22">
        <f t="shared" si="74"/>
        <v>-41.009894608003535</v>
      </c>
      <c r="AX56" s="22">
        <f t="shared" si="74"/>
        <v>-41.013568631314882</v>
      </c>
      <c r="AY56" s="22">
        <f t="shared" si="74"/>
        <v>-41.017253923974131</v>
      </c>
      <c r="AZ56" s="22">
        <f t="shared" si="74"/>
        <v>-41.020948695079859</v>
      </c>
      <c r="BA56" s="22">
        <f t="shared" si="74"/>
        <v>-41.024651218420132</v>
      </c>
      <c r="BB56" s="22">
        <f t="shared" si="74"/>
        <v>-41.028359830647183</v>
      </c>
      <c r="BC56" s="22">
        <f t="shared" si="74"/>
        <v>-41.032072929498433</v>
      </c>
      <c r="BD56" s="22">
        <f t="shared" si="74"/>
        <v>-41.035788972062591</v>
      </c>
      <c r="BE56" s="22">
        <f t="shared" si="74"/>
        <v>-41.039506473089887</v>
      </c>
      <c r="BF56" s="22">
        <f t="shared" si="74"/>
        <v>-41.043224003345301</v>
      </c>
      <c r="BG56" s="22">
        <f t="shared" si="74"/>
        <v>-41.046940188003902</v>
      </c>
      <c r="BH56" s="22">
        <f t="shared" si="74"/>
        <v>-41.0506537050871</v>
      </c>
      <c r="BI56" s="22">
        <f t="shared" si="74"/>
        <v>-41.054363283938798</v>
      </c>
      <c r="BJ56" s="22">
        <f t="shared" si="74"/>
        <v>-41.058067703740896</v>
      </c>
      <c r="BK56" s="22">
        <f t="shared" si="74"/>
        <v>-41.061765792066637</v>
      </c>
      <c r="BL56" s="22">
        <f t="shared" si="74"/>
        <v>-41.065456423471282</v>
      </c>
      <c r="BM56" s="22">
        <f t="shared" si="74"/>
        <v>-41.069138518119033</v>
      </c>
      <c r="BN56" s="22">
        <f t="shared" si="74"/>
        <v>-41.07281104044543</v>
      </c>
      <c r="BO56" s="22">
        <f t="shared" si="74"/>
        <v>-41.07647299785431</v>
      </c>
      <c r="BP56" s="22">
        <f t="shared" si="74"/>
        <v>-41.080123439448471</v>
      </c>
      <c r="BQ56" s="22">
        <f t="shared" si="74"/>
        <v>-41.08376145479329</v>
      </c>
      <c r="BR56" s="22">
        <f t="shared" si="74"/>
        <v>-41.087386172712456</v>
      </c>
      <c r="BS56" s="22">
        <f t="shared" ref="BS56:CL56" si="75">PV($F28,BS$9,1,0)+(PV($G$6,84-BS$9,1,0)/($G$6+1)^BS$9)</f>
        <v>-41.090996760115083</v>
      </c>
      <c r="BT56" s="22">
        <f t="shared" si="75"/>
        <v>-41.094592420853346</v>
      </c>
      <c r="BU56" s="22">
        <f t="shared" si="75"/>
        <v>-41.098172394609975</v>
      </c>
      <c r="BV56" s="22">
        <f t="shared" si="75"/>
        <v>-41.101735955814974</v>
      </c>
      <c r="BW56" s="22">
        <f t="shared" si="75"/>
        <v>-41.105282412590618</v>
      </c>
      <c r="BX56" s="22">
        <f t="shared" si="75"/>
        <v>-41.108811105724193</v>
      </c>
      <c r="BY56" s="22">
        <f t="shared" si="75"/>
        <v>-41.112321407667856</v>
      </c>
      <c r="BZ56" s="22">
        <f t="shared" si="75"/>
        <v>-41.115812721564808</v>
      </c>
      <c r="CA56" s="22">
        <f t="shared" si="75"/>
        <v>-41.119284480301211</v>
      </c>
      <c r="CB56" s="22">
        <f t="shared" si="75"/>
        <v>-41.122736145583268</v>
      </c>
      <c r="CC56" s="22">
        <f t="shared" si="75"/>
        <v>-41.126167207038719</v>
      </c>
      <c r="CD56" s="22">
        <f t="shared" si="75"/>
        <v>-41.129577181342299</v>
      </c>
      <c r="CE56" s="22">
        <f t="shared" si="75"/>
        <v>-41.132965611364433</v>
      </c>
      <c r="CF56" s="22">
        <f t="shared" si="75"/>
        <v>-41.136332065342749</v>
      </c>
      <c r="CG56" s="22">
        <f t="shared" si="75"/>
        <v>-41.1396761360757</v>
      </c>
      <c r="CH56" s="22">
        <f t="shared" si="75"/>
        <v>-41.142997440137819</v>
      </c>
      <c r="CI56" s="22">
        <f t="shared" si="75"/>
        <v>-41.146295617116103</v>
      </c>
      <c r="CJ56" s="22">
        <f t="shared" si="75"/>
        <v>-41.149570328866965</v>
      </c>
      <c r="CK56" s="22">
        <f t="shared" si="75"/>
        <v>-41.152821258793182</v>
      </c>
      <c r="CL56" s="22">
        <f t="shared" si="75"/>
        <v>-41.156048111140521</v>
      </c>
      <c r="CM56" s="22"/>
    </row>
    <row r="57" spans="7:91" hidden="1" x14ac:dyDescent="0.25">
      <c r="G57" s="22">
        <f t="shared" ref="G57:BR57" si="76">PV($F29,G$9,1,0)+(PV($G$6,84-G$9,1,0)/($G$6+1)^G$9)</f>
        <v>-40.90201982307515</v>
      </c>
      <c r="H57" s="22">
        <f t="shared" si="76"/>
        <v>-40.902019823075143</v>
      </c>
      <c r="I57" s="22">
        <f t="shared" si="76"/>
        <v>-40.90201982307515</v>
      </c>
      <c r="J57" s="22">
        <f t="shared" si="76"/>
        <v>-40.902019823075143</v>
      </c>
      <c r="K57" s="22">
        <f t="shared" si="76"/>
        <v>-40.902019823075143</v>
      </c>
      <c r="L57" s="22">
        <f t="shared" si="76"/>
        <v>-40.90201982307515</v>
      </c>
      <c r="M57" s="22">
        <f t="shared" si="76"/>
        <v>-40.902019823075136</v>
      </c>
      <c r="N57" s="22">
        <f t="shared" si="76"/>
        <v>-40.902019823075157</v>
      </c>
      <c r="O57" s="22">
        <f t="shared" si="76"/>
        <v>-40.90201982307515</v>
      </c>
      <c r="P57" s="22">
        <f t="shared" si="76"/>
        <v>-40.90201982307515</v>
      </c>
      <c r="Q57" s="22">
        <f t="shared" si="76"/>
        <v>-40.902019823075143</v>
      </c>
      <c r="R57" s="22">
        <f t="shared" si="76"/>
        <v>-40.902019823075143</v>
      </c>
      <c r="S57" s="22">
        <f t="shared" si="76"/>
        <v>-40.90201982307515</v>
      </c>
      <c r="T57" s="22">
        <f t="shared" si="76"/>
        <v>-40.90201982307515</v>
      </c>
      <c r="U57" s="22">
        <f t="shared" si="76"/>
        <v>-40.90201982307515</v>
      </c>
      <c r="V57" s="22">
        <f t="shared" si="76"/>
        <v>-40.90201982307515</v>
      </c>
      <c r="W57" s="22">
        <f t="shared" si="76"/>
        <v>-40.90201982307515</v>
      </c>
      <c r="X57" s="22">
        <f t="shared" si="76"/>
        <v>-40.90201982307515</v>
      </c>
      <c r="Y57" s="22">
        <f t="shared" si="76"/>
        <v>-40.902019823075143</v>
      </c>
      <c r="Z57" s="22">
        <f t="shared" si="76"/>
        <v>-40.90201982307515</v>
      </c>
      <c r="AA57" s="22">
        <f t="shared" si="76"/>
        <v>-40.90201982307515</v>
      </c>
      <c r="AB57" s="22">
        <f t="shared" si="76"/>
        <v>-40.90201982307515</v>
      </c>
      <c r="AC57" s="22">
        <f t="shared" si="76"/>
        <v>-40.90201982307515</v>
      </c>
      <c r="AD57" s="22">
        <f t="shared" si="76"/>
        <v>-40.90201982307515</v>
      </c>
      <c r="AE57" s="22">
        <f t="shared" si="76"/>
        <v>-40.90201982307515</v>
      </c>
      <c r="AF57" s="22">
        <f t="shared" si="76"/>
        <v>-40.902019823075136</v>
      </c>
      <c r="AG57" s="22">
        <f t="shared" si="76"/>
        <v>-40.90201982307515</v>
      </c>
      <c r="AH57" s="22">
        <f t="shared" si="76"/>
        <v>-40.90201982307515</v>
      </c>
      <c r="AI57" s="22">
        <f t="shared" si="76"/>
        <v>-40.90201982307515</v>
      </c>
      <c r="AJ57" s="22">
        <f t="shared" si="76"/>
        <v>-40.90201982307515</v>
      </c>
      <c r="AK57" s="22">
        <f t="shared" si="76"/>
        <v>-40.902019823075143</v>
      </c>
      <c r="AL57" s="22">
        <f t="shared" si="76"/>
        <v>-40.90201982307515</v>
      </c>
      <c r="AM57" s="22">
        <f t="shared" si="76"/>
        <v>-40.90201982307515</v>
      </c>
      <c r="AN57" s="22">
        <f t="shared" si="76"/>
        <v>-40.90201982307515</v>
      </c>
      <c r="AO57" s="22">
        <f t="shared" si="76"/>
        <v>-40.902019823075143</v>
      </c>
      <c r="AP57" s="22">
        <f t="shared" si="76"/>
        <v>-40.90201982307515</v>
      </c>
      <c r="AQ57" s="22">
        <f t="shared" si="76"/>
        <v>-40.90201982307515</v>
      </c>
      <c r="AR57" s="22">
        <f t="shared" si="76"/>
        <v>-40.90201982307515</v>
      </c>
      <c r="AS57" s="22">
        <f t="shared" si="76"/>
        <v>-40.90201982307515</v>
      </c>
      <c r="AT57" s="22">
        <f t="shared" si="76"/>
        <v>-40.90201982307515</v>
      </c>
      <c r="AU57" s="22">
        <f t="shared" si="76"/>
        <v>-40.90201982307515</v>
      </c>
      <c r="AV57" s="22">
        <f t="shared" si="76"/>
        <v>-40.902019823075143</v>
      </c>
      <c r="AW57" s="22">
        <f t="shared" si="76"/>
        <v>-40.90201982307515</v>
      </c>
      <c r="AX57" s="22">
        <f t="shared" si="76"/>
        <v>-40.90201982307515</v>
      </c>
      <c r="AY57" s="22">
        <f t="shared" si="76"/>
        <v>-40.90201982307515</v>
      </c>
      <c r="AZ57" s="22">
        <f t="shared" si="76"/>
        <v>-40.902019823075143</v>
      </c>
      <c r="BA57" s="22">
        <f t="shared" si="76"/>
        <v>-40.90201982307515</v>
      </c>
      <c r="BB57" s="22">
        <f t="shared" si="76"/>
        <v>-40.90201982307515</v>
      </c>
      <c r="BC57" s="22">
        <f t="shared" si="76"/>
        <v>-40.90201982307515</v>
      </c>
      <c r="BD57" s="22">
        <f t="shared" si="76"/>
        <v>-40.902019823075143</v>
      </c>
      <c r="BE57" s="22">
        <f t="shared" si="76"/>
        <v>-40.90201982307515</v>
      </c>
      <c r="BF57" s="22">
        <f t="shared" si="76"/>
        <v>-40.90201982307515</v>
      </c>
      <c r="BG57" s="22">
        <f t="shared" si="76"/>
        <v>-40.902019823075143</v>
      </c>
      <c r="BH57" s="22">
        <f t="shared" si="76"/>
        <v>-40.90201982307515</v>
      </c>
      <c r="BI57" s="22">
        <f t="shared" si="76"/>
        <v>-40.90201982307515</v>
      </c>
      <c r="BJ57" s="22">
        <f t="shared" si="76"/>
        <v>-40.902019823075143</v>
      </c>
      <c r="BK57" s="22">
        <f t="shared" si="76"/>
        <v>-40.902019823075143</v>
      </c>
      <c r="BL57" s="22">
        <f t="shared" si="76"/>
        <v>-40.902019823075143</v>
      </c>
      <c r="BM57" s="22">
        <f t="shared" si="76"/>
        <v>-40.90201982307515</v>
      </c>
      <c r="BN57" s="22">
        <f t="shared" si="76"/>
        <v>-40.90201982307515</v>
      </c>
      <c r="BO57" s="22">
        <f t="shared" si="76"/>
        <v>-40.902019823075143</v>
      </c>
      <c r="BP57" s="22">
        <f t="shared" si="76"/>
        <v>-40.90201982307515</v>
      </c>
      <c r="BQ57" s="22">
        <f t="shared" si="76"/>
        <v>-40.90201982307515</v>
      </c>
      <c r="BR57" s="22">
        <f t="shared" si="76"/>
        <v>-40.902019823075143</v>
      </c>
      <c r="BS57" s="22">
        <f t="shared" ref="BS57:CL57" si="77">PV($F29,BS$9,1,0)+(PV($G$6,84-BS$9,1,0)/($G$6+1)^BS$9)</f>
        <v>-40.902019823075143</v>
      </c>
      <c r="BT57" s="22">
        <f t="shared" si="77"/>
        <v>-40.90201982307515</v>
      </c>
      <c r="BU57" s="22">
        <f t="shared" si="77"/>
        <v>-40.90201982307515</v>
      </c>
      <c r="BV57" s="22">
        <f t="shared" si="77"/>
        <v>-40.90201982307515</v>
      </c>
      <c r="BW57" s="22">
        <f t="shared" si="77"/>
        <v>-40.902019823075143</v>
      </c>
      <c r="BX57" s="22">
        <f t="shared" si="77"/>
        <v>-40.902019823075143</v>
      </c>
      <c r="BY57" s="22">
        <f t="shared" si="77"/>
        <v>-40.902019823075143</v>
      </c>
      <c r="BZ57" s="22">
        <f t="shared" si="77"/>
        <v>-40.902019823075143</v>
      </c>
      <c r="CA57" s="22">
        <f t="shared" si="77"/>
        <v>-40.902019823075143</v>
      </c>
      <c r="CB57" s="22">
        <f t="shared" si="77"/>
        <v>-40.90201982307515</v>
      </c>
      <c r="CC57" s="22">
        <f t="shared" si="77"/>
        <v>-40.90201982307515</v>
      </c>
      <c r="CD57" s="22">
        <f t="shared" si="77"/>
        <v>-40.90201982307515</v>
      </c>
      <c r="CE57" s="22">
        <f t="shared" si="77"/>
        <v>-40.902019823075143</v>
      </c>
      <c r="CF57" s="22">
        <f t="shared" si="77"/>
        <v>-40.90201982307515</v>
      </c>
      <c r="CG57" s="22">
        <f t="shared" si="77"/>
        <v>-40.902019823075143</v>
      </c>
      <c r="CH57" s="22">
        <f t="shared" si="77"/>
        <v>-40.902019823075143</v>
      </c>
      <c r="CI57" s="22">
        <f t="shared" si="77"/>
        <v>-40.902019823075143</v>
      </c>
      <c r="CJ57" s="22">
        <f t="shared" si="77"/>
        <v>-40.902019823075143</v>
      </c>
      <c r="CK57" s="22">
        <f t="shared" si="77"/>
        <v>-40.902019823075143</v>
      </c>
      <c r="CL57" s="22">
        <f t="shared" si="77"/>
        <v>-40.902019823075143</v>
      </c>
    </row>
    <row r="58" spans="7:91" hidden="1" x14ac:dyDescent="0.25">
      <c r="G58" s="22"/>
    </row>
    <row r="59" spans="7:91" hidden="1" x14ac:dyDescent="0.25">
      <c r="G59" s="22"/>
    </row>
  </sheetData>
  <conditionalFormatting sqref="G10:CL29">
    <cfRule type="cellIs" dxfId="56" priority="1" operator="greaterThan">
      <formula>0.016699999</formula>
    </cfRule>
  </conditionalFormatting>
  <pageMargins left="0.51181102362204722" right="0.51181102362204722" top="0.78740157480314965" bottom="0.78740157480314965" header="0.31496062992125984" footer="0.31496062992125984"/>
  <pageSetup paperSize="9"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E58B73-7FEF-4098-BD08-2FB6B25003D8}">
  <sheetPr codeName="Planilha2"/>
  <dimension ref="A1:FM210"/>
  <sheetViews>
    <sheetView showGridLines="0" topLeftCell="E1" workbookViewId="0">
      <pane xSplit="2" ySplit="10" topLeftCell="G11" activePane="bottomRight" state="frozen"/>
      <selection activeCell="E1" sqref="E1"/>
      <selection pane="topRight" activeCell="G1" sqref="G1"/>
      <selection pane="bottomLeft" activeCell="E11" sqref="E11"/>
      <selection pane="bottomRight" activeCell="F9" sqref="F9:F10"/>
    </sheetView>
  </sheetViews>
  <sheetFormatPr defaultRowHeight="15" x14ac:dyDescent="0.25"/>
  <cols>
    <col min="1" max="4" width="9.140625" hidden="1" customWidth="1"/>
    <col min="5" max="5" width="15" customWidth="1"/>
    <col min="6" max="6" width="12.42578125" style="23" customWidth="1"/>
    <col min="7" max="8" width="10.140625" bestFit="1" customWidth="1"/>
    <col min="9" max="9" width="10.5703125" customWidth="1"/>
    <col min="10" max="10" width="11.7109375" customWidth="1"/>
    <col min="11" max="11" width="8.85546875" bestFit="1" customWidth="1"/>
    <col min="12" max="12" width="10.140625" customWidth="1"/>
    <col min="13" max="102" width="8.85546875" bestFit="1" customWidth="1"/>
    <col min="103" max="125" width="9.140625" customWidth="1"/>
    <col min="126" max="126" width="9.28515625" customWidth="1"/>
    <col min="127" max="151" width="9.140625" customWidth="1"/>
    <col min="152" max="154" width="9.140625" hidden="1" customWidth="1"/>
    <col min="155" max="155" width="16.42578125" hidden="1" customWidth="1"/>
    <col min="156" max="156" width="18.7109375" hidden="1" customWidth="1"/>
    <col min="157" max="157" width="8" hidden="1" customWidth="1"/>
    <col min="158" max="158" width="9.140625" hidden="1" customWidth="1"/>
    <col min="159" max="159" width="9.140625" style="47" hidden="1" customWidth="1"/>
    <col min="160" max="161" width="9.140625" hidden="1" customWidth="1"/>
    <col min="162" max="162" width="18.5703125" style="130" hidden="1" customWidth="1"/>
    <col min="163" max="163" width="27.5703125" style="12" hidden="1" customWidth="1"/>
    <col min="164" max="164" width="14.7109375" style="12" hidden="1" customWidth="1"/>
    <col min="165" max="165" width="13.140625" style="12" hidden="1" customWidth="1"/>
    <col min="166" max="166" width="18.5703125" style="154" hidden="1" customWidth="1"/>
    <col min="167" max="167" width="9.140625" style="134" hidden="1" customWidth="1"/>
    <col min="168" max="169" width="9.140625" hidden="1" customWidth="1"/>
    <col min="170" max="174" width="9.140625" customWidth="1"/>
  </cols>
  <sheetData>
    <row r="1" spans="5:168" hidden="1" x14ac:dyDescent="0.25"/>
    <row r="2" spans="5:168" hidden="1" x14ac:dyDescent="0.25"/>
    <row r="3" spans="5:168" hidden="1" x14ac:dyDescent="0.25"/>
    <row r="4" spans="5:168" ht="9" customHeight="1" thickBot="1" x14ac:dyDescent="0.3"/>
    <row r="5" spans="5:168" s="104" customFormat="1" ht="36" customHeight="1" thickBot="1" x14ac:dyDescent="0.3">
      <c r="F5" s="105"/>
      <c r="H5" s="289" t="s">
        <v>38</v>
      </c>
      <c r="I5" s="290"/>
      <c r="J5" s="107" t="s">
        <v>76</v>
      </c>
      <c r="K5" s="107" t="s">
        <v>44</v>
      </c>
      <c r="L5" s="107" t="s">
        <v>75</v>
      </c>
      <c r="FC5" s="106"/>
      <c r="FF5" s="158"/>
      <c r="FG5" s="155"/>
      <c r="FH5" s="155"/>
      <c r="FI5" s="155"/>
      <c r="FJ5" s="156"/>
      <c r="FK5" s="135"/>
    </row>
    <row r="6" spans="5:168" ht="16.5" customHeight="1" thickBot="1" x14ac:dyDescent="0.3">
      <c r="H6" s="291" t="s">
        <v>51</v>
      </c>
      <c r="I6" s="292"/>
      <c r="J6" s="88">
        <f>VLOOKUP(H6,$FF:$FL,7,0)</f>
        <v>1.9099999999999999E-2</v>
      </c>
      <c r="K6" s="89">
        <f>VLOOKUP(H6,$FF:$FI,3,FALSE)</f>
        <v>84</v>
      </c>
      <c r="L6" s="90">
        <f>VLOOKUP(H6,$FF:$FI,4,FALSE)</f>
        <v>1.6500000000000001E-2</v>
      </c>
    </row>
    <row r="7" spans="5:168" ht="15" customHeight="1" x14ac:dyDescent="0.25">
      <c r="F7" s="295" t="s">
        <v>58</v>
      </c>
    </row>
    <row r="8" spans="5:168" ht="15.75" thickBot="1" x14ac:dyDescent="0.3">
      <c r="F8" s="296"/>
    </row>
    <row r="9" spans="5:168" s="50" customFormat="1" ht="26.25" thickBot="1" x14ac:dyDescent="0.3">
      <c r="E9" s="139" t="s">
        <v>65</v>
      </c>
      <c r="F9" s="293" t="s">
        <v>30</v>
      </c>
      <c r="G9" s="84">
        <v>1</v>
      </c>
      <c r="H9" s="85">
        <f>IF($K$6-G9&gt;0,G9+1,$K$6)</f>
        <v>2</v>
      </c>
      <c r="I9" s="85">
        <f t="shared" ref="I9:BT9" si="0">IF($K$6-H9&gt;0,H9+1,$K$6)</f>
        <v>3</v>
      </c>
      <c r="J9" s="85">
        <f t="shared" si="0"/>
        <v>4</v>
      </c>
      <c r="K9" s="85">
        <f t="shared" si="0"/>
        <v>5</v>
      </c>
      <c r="L9" s="85">
        <f t="shared" si="0"/>
        <v>6</v>
      </c>
      <c r="M9" s="85">
        <f t="shared" si="0"/>
        <v>7</v>
      </c>
      <c r="N9" s="85">
        <f t="shared" si="0"/>
        <v>8</v>
      </c>
      <c r="O9" s="85">
        <f t="shared" si="0"/>
        <v>9</v>
      </c>
      <c r="P9" s="85">
        <f t="shared" si="0"/>
        <v>10</v>
      </c>
      <c r="Q9" s="85">
        <f t="shared" si="0"/>
        <v>11</v>
      </c>
      <c r="R9" s="85">
        <f t="shared" si="0"/>
        <v>12</v>
      </c>
      <c r="S9" s="85">
        <f t="shared" si="0"/>
        <v>13</v>
      </c>
      <c r="T9" s="85">
        <f t="shared" si="0"/>
        <v>14</v>
      </c>
      <c r="U9" s="85">
        <f t="shared" si="0"/>
        <v>15</v>
      </c>
      <c r="V9" s="85">
        <f t="shared" si="0"/>
        <v>16</v>
      </c>
      <c r="W9" s="85">
        <f t="shared" si="0"/>
        <v>17</v>
      </c>
      <c r="X9" s="85">
        <f t="shared" si="0"/>
        <v>18</v>
      </c>
      <c r="Y9" s="85">
        <f t="shared" si="0"/>
        <v>19</v>
      </c>
      <c r="Z9" s="85">
        <f t="shared" si="0"/>
        <v>20</v>
      </c>
      <c r="AA9" s="85">
        <f t="shared" si="0"/>
        <v>21</v>
      </c>
      <c r="AB9" s="85">
        <f t="shared" si="0"/>
        <v>22</v>
      </c>
      <c r="AC9" s="85">
        <f t="shared" si="0"/>
        <v>23</v>
      </c>
      <c r="AD9" s="85">
        <f t="shared" si="0"/>
        <v>24</v>
      </c>
      <c r="AE9" s="85">
        <f t="shared" si="0"/>
        <v>25</v>
      </c>
      <c r="AF9" s="85">
        <f t="shared" si="0"/>
        <v>26</v>
      </c>
      <c r="AG9" s="85">
        <f t="shared" si="0"/>
        <v>27</v>
      </c>
      <c r="AH9" s="85">
        <f t="shared" si="0"/>
        <v>28</v>
      </c>
      <c r="AI9" s="85">
        <f t="shared" si="0"/>
        <v>29</v>
      </c>
      <c r="AJ9" s="85">
        <f t="shared" si="0"/>
        <v>30</v>
      </c>
      <c r="AK9" s="85">
        <f t="shared" si="0"/>
        <v>31</v>
      </c>
      <c r="AL9" s="85">
        <f t="shared" si="0"/>
        <v>32</v>
      </c>
      <c r="AM9" s="85">
        <f t="shared" si="0"/>
        <v>33</v>
      </c>
      <c r="AN9" s="85">
        <f t="shared" si="0"/>
        <v>34</v>
      </c>
      <c r="AO9" s="85">
        <f t="shared" si="0"/>
        <v>35</v>
      </c>
      <c r="AP9" s="85">
        <f t="shared" si="0"/>
        <v>36</v>
      </c>
      <c r="AQ9" s="85">
        <f t="shared" si="0"/>
        <v>37</v>
      </c>
      <c r="AR9" s="85">
        <f t="shared" si="0"/>
        <v>38</v>
      </c>
      <c r="AS9" s="85">
        <f t="shared" si="0"/>
        <v>39</v>
      </c>
      <c r="AT9" s="85">
        <f t="shared" si="0"/>
        <v>40</v>
      </c>
      <c r="AU9" s="85">
        <f t="shared" si="0"/>
        <v>41</v>
      </c>
      <c r="AV9" s="85">
        <f t="shared" si="0"/>
        <v>42</v>
      </c>
      <c r="AW9" s="85">
        <f t="shared" si="0"/>
        <v>43</v>
      </c>
      <c r="AX9" s="85">
        <f t="shared" si="0"/>
        <v>44</v>
      </c>
      <c r="AY9" s="85">
        <f t="shared" si="0"/>
        <v>45</v>
      </c>
      <c r="AZ9" s="85">
        <f t="shared" si="0"/>
        <v>46</v>
      </c>
      <c r="BA9" s="85">
        <f t="shared" si="0"/>
        <v>47</v>
      </c>
      <c r="BB9" s="85">
        <f t="shared" si="0"/>
        <v>48</v>
      </c>
      <c r="BC9" s="85">
        <f t="shared" si="0"/>
        <v>49</v>
      </c>
      <c r="BD9" s="86">
        <f t="shared" si="0"/>
        <v>50</v>
      </c>
      <c r="BE9" s="85">
        <f t="shared" si="0"/>
        <v>51</v>
      </c>
      <c r="BF9" s="85">
        <f t="shared" si="0"/>
        <v>52</v>
      </c>
      <c r="BG9" s="85">
        <f t="shared" si="0"/>
        <v>53</v>
      </c>
      <c r="BH9" s="85">
        <f t="shared" si="0"/>
        <v>54</v>
      </c>
      <c r="BI9" s="85">
        <f t="shared" si="0"/>
        <v>55</v>
      </c>
      <c r="BJ9" s="85">
        <f t="shared" si="0"/>
        <v>56</v>
      </c>
      <c r="BK9" s="85">
        <f t="shared" si="0"/>
        <v>57</v>
      </c>
      <c r="BL9" s="85">
        <f t="shared" si="0"/>
        <v>58</v>
      </c>
      <c r="BM9" s="85">
        <f t="shared" si="0"/>
        <v>59</v>
      </c>
      <c r="BN9" s="85">
        <f t="shared" si="0"/>
        <v>60</v>
      </c>
      <c r="BO9" s="85">
        <f t="shared" si="0"/>
        <v>61</v>
      </c>
      <c r="BP9" s="85">
        <f t="shared" si="0"/>
        <v>62</v>
      </c>
      <c r="BQ9" s="85">
        <f t="shared" si="0"/>
        <v>63</v>
      </c>
      <c r="BR9" s="85">
        <f t="shared" si="0"/>
        <v>64</v>
      </c>
      <c r="BS9" s="85">
        <f t="shared" si="0"/>
        <v>65</v>
      </c>
      <c r="BT9" s="85">
        <f t="shared" si="0"/>
        <v>66</v>
      </c>
      <c r="BU9" s="85">
        <f t="shared" ref="BU9:DV9" si="1">IF($K$6-BT9&gt;0,BT9+1,$K$6)</f>
        <v>67</v>
      </c>
      <c r="BV9" s="85">
        <f t="shared" si="1"/>
        <v>68</v>
      </c>
      <c r="BW9" s="85">
        <f t="shared" si="1"/>
        <v>69</v>
      </c>
      <c r="BX9" s="85">
        <f t="shared" si="1"/>
        <v>70</v>
      </c>
      <c r="BY9" s="85">
        <f t="shared" si="1"/>
        <v>71</v>
      </c>
      <c r="BZ9" s="85">
        <f t="shared" si="1"/>
        <v>72</v>
      </c>
      <c r="CA9" s="85">
        <f t="shared" si="1"/>
        <v>73</v>
      </c>
      <c r="CB9" s="85">
        <f t="shared" si="1"/>
        <v>74</v>
      </c>
      <c r="CC9" s="85">
        <f t="shared" si="1"/>
        <v>75</v>
      </c>
      <c r="CD9" s="85">
        <f t="shared" si="1"/>
        <v>76</v>
      </c>
      <c r="CE9" s="85">
        <f t="shared" si="1"/>
        <v>77</v>
      </c>
      <c r="CF9" s="85">
        <f t="shared" si="1"/>
        <v>78</v>
      </c>
      <c r="CG9" s="85">
        <f t="shared" si="1"/>
        <v>79</v>
      </c>
      <c r="CH9" s="85">
        <f t="shared" si="1"/>
        <v>80</v>
      </c>
      <c r="CI9" s="85">
        <f t="shared" si="1"/>
        <v>81</v>
      </c>
      <c r="CJ9" s="85">
        <f t="shared" si="1"/>
        <v>82</v>
      </c>
      <c r="CK9" s="85">
        <f t="shared" si="1"/>
        <v>83</v>
      </c>
      <c r="CL9" s="85">
        <f t="shared" si="1"/>
        <v>84</v>
      </c>
      <c r="CM9" s="85">
        <f t="shared" si="1"/>
        <v>84</v>
      </c>
      <c r="CN9" s="86">
        <f t="shared" si="1"/>
        <v>84</v>
      </c>
      <c r="CO9" s="85">
        <f t="shared" si="1"/>
        <v>84</v>
      </c>
      <c r="CP9" s="85">
        <f t="shared" si="1"/>
        <v>84</v>
      </c>
      <c r="CQ9" s="85">
        <f t="shared" si="1"/>
        <v>84</v>
      </c>
      <c r="CR9" s="85">
        <f t="shared" si="1"/>
        <v>84</v>
      </c>
      <c r="CS9" s="85">
        <f t="shared" si="1"/>
        <v>84</v>
      </c>
      <c r="CT9" s="85">
        <f t="shared" si="1"/>
        <v>84</v>
      </c>
      <c r="CU9" s="85">
        <f t="shared" si="1"/>
        <v>84</v>
      </c>
      <c r="CV9" s="85">
        <f t="shared" si="1"/>
        <v>84</v>
      </c>
      <c r="CW9" s="85">
        <f t="shared" si="1"/>
        <v>84</v>
      </c>
      <c r="CX9" s="85">
        <f t="shared" si="1"/>
        <v>84</v>
      </c>
      <c r="CY9" s="85">
        <f t="shared" si="1"/>
        <v>84</v>
      </c>
      <c r="CZ9" s="85">
        <f t="shared" si="1"/>
        <v>84</v>
      </c>
      <c r="DA9" s="85">
        <f t="shared" si="1"/>
        <v>84</v>
      </c>
      <c r="DB9" s="85">
        <f t="shared" si="1"/>
        <v>84</v>
      </c>
      <c r="DC9" s="85">
        <f t="shared" si="1"/>
        <v>84</v>
      </c>
      <c r="DD9" s="85">
        <f t="shared" si="1"/>
        <v>84</v>
      </c>
      <c r="DE9" s="85">
        <f t="shared" si="1"/>
        <v>84</v>
      </c>
      <c r="DF9" s="85">
        <f t="shared" si="1"/>
        <v>84</v>
      </c>
      <c r="DG9" s="85">
        <f t="shared" si="1"/>
        <v>84</v>
      </c>
      <c r="DH9" s="85">
        <f t="shared" si="1"/>
        <v>84</v>
      </c>
      <c r="DI9" s="85">
        <f t="shared" si="1"/>
        <v>84</v>
      </c>
      <c r="DJ9" s="85">
        <f t="shared" si="1"/>
        <v>84</v>
      </c>
      <c r="DK9" s="85">
        <f t="shared" si="1"/>
        <v>84</v>
      </c>
      <c r="DL9" s="85">
        <f t="shared" si="1"/>
        <v>84</v>
      </c>
      <c r="DM9" s="85">
        <f t="shared" si="1"/>
        <v>84</v>
      </c>
      <c r="DN9" s="85">
        <f t="shared" si="1"/>
        <v>84</v>
      </c>
      <c r="DO9" s="85">
        <f t="shared" si="1"/>
        <v>84</v>
      </c>
      <c r="DP9" s="85">
        <f t="shared" si="1"/>
        <v>84</v>
      </c>
      <c r="DQ9" s="85">
        <f t="shared" si="1"/>
        <v>84</v>
      </c>
      <c r="DR9" s="85">
        <f t="shared" si="1"/>
        <v>84</v>
      </c>
      <c r="DS9" s="85">
        <f t="shared" si="1"/>
        <v>84</v>
      </c>
      <c r="DT9" s="85">
        <f t="shared" si="1"/>
        <v>84</v>
      </c>
      <c r="DU9" s="85">
        <f t="shared" si="1"/>
        <v>84</v>
      </c>
      <c r="DV9" s="85">
        <f t="shared" si="1"/>
        <v>84</v>
      </c>
      <c r="DW9" s="85">
        <f t="shared" ref="DW9" si="2">IF($K$6-DV9&gt;0,DV9+1,$K$6)</f>
        <v>84</v>
      </c>
      <c r="DX9" s="85">
        <f t="shared" ref="DX9" si="3">IF($K$6-DW9&gt;0,DW9+1,$K$6)</f>
        <v>84</v>
      </c>
      <c r="DY9" s="85">
        <f t="shared" ref="DY9" si="4">IF($K$6-DX9&gt;0,DX9+1,$K$6)</f>
        <v>84</v>
      </c>
      <c r="DZ9" s="85">
        <f t="shared" ref="DZ9" si="5">IF($K$6-DY9&gt;0,DY9+1,$K$6)</f>
        <v>84</v>
      </c>
      <c r="EA9" s="85">
        <f t="shared" ref="EA9" si="6">IF($K$6-DZ9&gt;0,DZ9+1,$K$6)</f>
        <v>84</v>
      </c>
      <c r="EB9" s="85">
        <f t="shared" ref="EB9" si="7">IF($K$6-EA9&gt;0,EA9+1,$K$6)</f>
        <v>84</v>
      </c>
      <c r="EC9" s="85">
        <f t="shared" ref="EC9" si="8">IF($K$6-EB9&gt;0,EB9+1,$K$6)</f>
        <v>84</v>
      </c>
      <c r="ED9" s="85">
        <f t="shared" ref="ED9" si="9">IF($K$6-EC9&gt;0,EC9+1,$K$6)</f>
        <v>84</v>
      </c>
      <c r="EE9" s="85">
        <f t="shared" ref="EE9" si="10">IF($K$6-ED9&gt;0,ED9+1,$K$6)</f>
        <v>84</v>
      </c>
      <c r="EF9" s="85">
        <f t="shared" ref="EF9" si="11">IF($K$6-EE9&gt;0,EE9+1,$K$6)</f>
        <v>84</v>
      </c>
      <c r="EG9" s="85">
        <f t="shared" ref="EG9" si="12">IF($K$6-EF9&gt;0,EF9+1,$K$6)</f>
        <v>84</v>
      </c>
      <c r="EH9" s="85">
        <f t="shared" ref="EH9" si="13">IF($K$6-EG9&gt;0,EG9+1,$K$6)</f>
        <v>84</v>
      </c>
      <c r="EI9" s="85">
        <f t="shared" ref="EI9" si="14">IF($K$6-EH9&gt;0,EH9+1,$K$6)</f>
        <v>84</v>
      </c>
      <c r="EJ9" s="85">
        <f t="shared" ref="EJ9" si="15">IF($K$6-EI9&gt;0,EI9+1,$K$6)</f>
        <v>84</v>
      </c>
      <c r="EK9" s="85">
        <f t="shared" ref="EK9" si="16">IF($K$6-EJ9&gt;0,EJ9+1,$K$6)</f>
        <v>84</v>
      </c>
      <c r="EL9" s="85">
        <f t="shared" ref="EL9" si="17">IF($K$6-EK9&gt;0,EK9+1,$K$6)</f>
        <v>84</v>
      </c>
      <c r="EM9" s="85">
        <f t="shared" ref="EM9" si="18">IF($K$6-EL9&gt;0,EL9+1,$K$6)</f>
        <v>84</v>
      </c>
      <c r="EN9" s="85">
        <f t="shared" ref="EN9" si="19">IF($K$6-EM9&gt;0,EM9+1,$K$6)</f>
        <v>84</v>
      </c>
      <c r="EO9" s="85">
        <f t="shared" ref="EO9" si="20">IF($K$6-EN9&gt;0,EN9+1,$K$6)</f>
        <v>84</v>
      </c>
      <c r="EP9" s="85">
        <f t="shared" ref="EP9" si="21">IF($K$6-EO9&gt;0,EO9+1,$K$6)</f>
        <v>84</v>
      </c>
      <c r="EQ9" s="85">
        <f t="shared" ref="EQ9" si="22">IF($K$6-EP9&gt;0,EP9+1,$K$6)</f>
        <v>84</v>
      </c>
      <c r="ER9" s="85">
        <f t="shared" ref="ER9" si="23">IF($K$6-EQ9&gt;0,EQ9+1,$K$6)</f>
        <v>84</v>
      </c>
      <c r="ES9" s="85">
        <f t="shared" ref="ES9" si="24">IF($K$6-ER9&gt;0,ER9+1,$K$6)</f>
        <v>84</v>
      </c>
      <c r="ET9" s="85">
        <f t="shared" ref="ET9" si="25">IF($K$6-ES9&gt;0,ES9+1,$K$6)</f>
        <v>84</v>
      </c>
      <c r="EY9" s="50" t="s">
        <v>38</v>
      </c>
      <c r="EZ9" s="50" t="s">
        <v>3</v>
      </c>
      <c r="FA9" s="50" t="s">
        <v>39</v>
      </c>
      <c r="FB9" s="50" t="s">
        <v>44</v>
      </c>
      <c r="FC9" s="51" t="s">
        <v>47</v>
      </c>
      <c r="FF9" s="159"/>
      <c r="FJ9" s="136"/>
      <c r="FK9" s="131"/>
    </row>
    <row r="10" spans="5:168" s="50" customFormat="1" ht="24.75" customHeight="1" thickBot="1" x14ac:dyDescent="0.3">
      <c r="E10" s="140" t="s">
        <v>59</v>
      </c>
      <c r="F10" s="294"/>
      <c r="G10" s="84">
        <f>IF(G9&lt;=$K$6,$K$6-G9,"")</f>
        <v>83</v>
      </c>
      <c r="H10" s="85">
        <f t="shared" ref="H10:BS10" si="26">IF(H9&lt;=$K$6,$K$6-H9,"")</f>
        <v>82</v>
      </c>
      <c r="I10" s="85">
        <f t="shared" si="26"/>
        <v>81</v>
      </c>
      <c r="J10" s="85">
        <f t="shared" si="26"/>
        <v>80</v>
      </c>
      <c r="K10" s="85">
        <f t="shared" si="26"/>
        <v>79</v>
      </c>
      <c r="L10" s="85">
        <f t="shared" si="26"/>
        <v>78</v>
      </c>
      <c r="M10" s="85">
        <f t="shared" si="26"/>
        <v>77</v>
      </c>
      <c r="N10" s="85">
        <f t="shared" si="26"/>
        <v>76</v>
      </c>
      <c r="O10" s="85">
        <f t="shared" si="26"/>
        <v>75</v>
      </c>
      <c r="P10" s="85">
        <f t="shared" si="26"/>
        <v>74</v>
      </c>
      <c r="Q10" s="85">
        <f t="shared" si="26"/>
        <v>73</v>
      </c>
      <c r="R10" s="85">
        <f t="shared" si="26"/>
        <v>72</v>
      </c>
      <c r="S10" s="85">
        <f t="shared" si="26"/>
        <v>71</v>
      </c>
      <c r="T10" s="85">
        <f t="shared" si="26"/>
        <v>70</v>
      </c>
      <c r="U10" s="85">
        <f t="shared" si="26"/>
        <v>69</v>
      </c>
      <c r="V10" s="85">
        <f t="shared" si="26"/>
        <v>68</v>
      </c>
      <c r="W10" s="85">
        <f t="shared" si="26"/>
        <v>67</v>
      </c>
      <c r="X10" s="85">
        <f t="shared" si="26"/>
        <v>66</v>
      </c>
      <c r="Y10" s="87">
        <f t="shared" si="26"/>
        <v>65</v>
      </c>
      <c r="Z10" s="85">
        <f t="shared" si="26"/>
        <v>64</v>
      </c>
      <c r="AA10" s="85">
        <f t="shared" si="26"/>
        <v>63</v>
      </c>
      <c r="AB10" s="85">
        <f t="shared" si="26"/>
        <v>62</v>
      </c>
      <c r="AC10" s="85">
        <f t="shared" si="26"/>
        <v>61</v>
      </c>
      <c r="AD10" s="87">
        <f t="shared" si="26"/>
        <v>60</v>
      </c>
      <c r="AE10" s="85">
        <f t="shared" si="26"/>
        <v>59</v>
      </c>
      <c r="AF10" s="85">
        <f t="shared" si="26"/>
        <v>58</v>
      </c>
      <c r="AG10" s="85">
        <f t="shared" si="26"/>
        <v>57</v>
      </c>
      <c r="AH10" s="85">
        <f t="shared" si="26"/>
        <v>56</v>
      </c>
      <c r="AI10" s="85">
        <f t="shared" si="26"/>
        <v>55</v>
      </c>
      <c r="AJ10" s="85">
        <f t="shared" si="26"/>
        <v>54</v>
      </c>
      <c r="AK10" s="85">
        <f t="shared" si="26"/>
        <v>53</v>
      </c>
      <c r="AL10" s="85">
        <f t="shared" si="26"/>
        <v>52</v>
      </c>
      <c r="AM10" s="87">
        <f t="shared" si="26"/>
        <v>51</v>
      </c>
      <c r="AN10" s="85">
        <f t="shared" si="26"/>
        <v>50</v>
      </c>
      <c r="AO10" s="85">
        <f t="shared" si="26"/>
        <v>49</v>
      </c>
      <c r="AP10" s="85">
        <f t="shared" si="26"/>
        <v>48</v>
      </c>
      <c r="AQ10" s="85">
        <f t="shared" si="26"/>
        <v>47</v>
      </c>
      <c r="AR10" s="85">
        <f t="shared" si="26"/>
        <v>46</v>
      </c>
      <c r="AS10" s="85">
        <f t="shared" si="26"/>
        <v>45</v>
      </c>
      <c r="AT10" s="85">
        <f t="shared" si="26"/>
        <v>44</v>
      </c>
      <c r="AU10" s="85">
        <f t="shared" si="26"/>
        <v>43</v>
      </c>
      <c r="AV10" s="85">
        <f t="shared" si="26"/>
        <v>42</v>
      </c>
      <c r="AW10" s="85">
        <f t="shared" si="26"/>
        <v>41</v>
      </c>
      <c r="AX10" s="85">
        <f t="shared" si="26"/>
        <v>40</v>
      </c>
      <c r="AY10" s="87">
        <f t="shared" si="26"/>
        <v>39</v>
      </c>
      <c r="AZ10" s="85">
        <f t="shared" si="26"/>
        <v>38</v>
      </c>
      <c r="BA10" s="85">
        <f t="shared" si="26"/>
        <v>37</v>
      </c>
      <c r="BB10" s="85">
        <f t="shared" si="26"/>
        <v>36</v>
      </c>
      <c r="BC10" s="85">
        <f t="shared" si="26"/>
        <v>35</v>
      </c>
      <c r="BD10" s="85">
        <f t="shared" si="26"/>
        <v>34</v>
      </c>
      <c r="BE10" s="85">
        <f t="shared" si="26"/>
        <v>33</v>
      </c>
      <c r="BF10" s="87">
        <f t="shared" si="26"/>
        <v>32</v>
      </c>
      <c r="BG10" s="85">
        <f t="shared" si="26"/>
        <v>31</v>
      </c>
      <c r="BH10" s="87">
        <f t="shared" si="26"/>
        <v>30</v>
      </c>
      <c r="BI10" s="85">
        <f t="shared" si="26"/>
        <v>29</v>
      </c>
      <c r="BJ10" s="85">
        <f t="shared" si="26"/>
        <v>28</v>
      </c>
      <c r="BK10" s="85">
        <f t="shared" si="26"/>
        <v>27</v>
      </c>
      <c r="BL10" s="85">
        <f t="shared" si="26"/>
        <v>26</v>
      </c>
      <c r="BM10" s="85">
        <f t="shared" si="26"/>
        <v>25</v>
      </c>
      <c r="BN10" s="85">
        <f t="shared" si="26"/>
        <v>24</v>
      </c>
      <c r="BO10" s="85">
        <f t="shared" si="26"/>
        <v>23</v>
      </c>
      <c r="BP10" s="87">
        <f t="shared" si="26"/>
        <v>22</v>
      </c>
      <c r="BQ10" s="85">
        <f t="shared" si="26"/>
        <v>21</v>
      </c>
      <c r="BR10" s="85">
        <f t="shared" si="26"/>
        <v>20</v>
      </c>
      <c r="BS10" s="85">
        <f t="shared" si="26"/>
        <v>19</v>
      </c>
      <c r="BT10" s="85">
        <f t="shared" ref="BT10:CQ10" si="27">IF(BT9&lt;=$K$6,$K$6-BT9,"")</f>
        <v>18</v>
      </c>
      <c r="BU10" s="85">
        <f t="shared" si="27"/>
        <v>17</v>
      </c>
      <c r="BV10" s="85">
        <f t="shared" si="27"/>
        <v>16</v>
      </c>
      <c r="BW10" s="85">
        <f t="shared" si="27"/>
        <v>15</v>
      </c>
      <c r="BX10" s="85">
        <f t="shared" si="27"/>
        <v>14</v>
      </c>
      <c r="BY10" s="85">
        <f t="shared" si="27"/>
        <v>13</v>
      </c>
      <c r="BZ10" s="85">
        <f t="shared" si="27"/>
        <v>12</v>
      </c>
      <c r="CA10" s="85">
        <f t="shared" si="27"/>
        <v>11</v>
      </c>
      <c r="CB10" s="85">
        <f t="shared" si="27"/>
        <v>10</v>
      </c>
      <c r="CC10" s="85">
        <f t="shared" si="27"/>
        <v>9</v>
      </c>
      <c r="CD10" s="85">
        <f t="shared" si="27"/>
        <v>8</v>
      </c>
      <c r="CE10" s="85">
        <f t="shared" si="27"/>
        <v>7</v>
      </c>
      <c r="CF10" s="85">
        <f t="shared" si="27"/>
        <v>6</v>
      </c>
      <c r="CG10" s="85">
        <f t="shared" si="27"/>
        <v>5</v>
      </c>
      <c r="CH10" s="85">
        <f t="shared" si="27"/>
        <v>4</v>
      </c>
      <c r="CI10" s="85">
        <f t="shared" si="27"/>
        <v>3</v>
      </c>
      <c r="CJ10" s="85">
        <f t="shared" si="27"/>
        <v>2</v>
      </c>
      <c r="CK10" s="85">
        <f t="shared" si="27"/>
        <v>1</v>
      </c>
      <c r="CL10" s="85">
        <f t="shared" si="27"/>
        <v>0</v>
      </c>
      <c r="CM10" s="85">
        <f t="shared" si="27"/>
        <v>0</v>
      </c>
      <c r="CN10" s="85">
        <f t="shared" si="27"/>
        <v>0</v>
      </c>
      <c r="CO10" s="85">
        <f t="shared" si="27"/>
        <v>0</v>
      </c>
      <c r="CP10" s="85">
        <f t="shared" si="27"/>
        <v>0</v>
      </c>
      <c r="CQ10" s="85">
        <f t="shared" si="27"/>
        <v>0</v>
      </c>
      <c r="CR10" s="85">
        <f>IF(CR9&lt;=$K$6,$K$6-CR9,"")</f>
        <v>0</v>
      </c>
      <c r="CS10" s="85">
        <f t="shared" ref="CS10" si="28">IF(CS9&lt;=$K$6,$K$6-CS9,"")</f>
        <v>0</v>
      </c>
      <c r="CT10" s="85">
        <f t="shared" ref="CT10" si="29">IF(CT9&lt;=$K$6,$K$6-CT9,"")</f>
        <v>0</v>
      </c>
      <c r="CU10" s="85">
        <f t="shared" ref="CU10" si="30">IF(CU9&lt;=$K$6,$K$6-CU9,"")</f>
        <v>0</v>
      </c>
      <c r="CV10" s="85">
        <f t="shared" ref="CV10" si="31">IF(CV9&lt;=$K$6,$K$6-CV9,"")</f>
        <v>0</v>
      </c>
      <c r="CW10" s="85">
        <f t="shared" ref="CW10" si="32">IF(CW9&lt;=$K$6,$K$6-CW9,"")</f>
        <v>0</v>
      </c>
      <c r="CX10" s="85">
        <f t="shared" ref="CX10" si="33">IF(CX9&lt;=$K$6,$K$6-CX9,"")</f>
        <v>0</v>
      </c>
      <c r="CY10" s="85">
        <f t="shared" ref="CY10" si="34">IF(CY9&lt;=$K$6,$K$6-CY9,"")</f>
        <v>0</v>
      </c>
      <c r="CZ10" s="85">
        <f t="shared" ref="CZ10" si="35">IF(CZ9&lt;=$K$6,$K$6-CZ9,"")</f>
        <v>0</v>
      </c>
      <c r="DA10" s="85">
        <f t="shared" ref="DA10" si="36">IF(DA9&lt;=$K$6,$K$6-DA9,"")</f>
        <v>0</v>
      </c>
      <c r="DB10" s="85">
        <f t="shared" ref="DB10" si="37">IF(DB9&lt;=$K$6,$K$6-DB9,"")</f>
        <v>0</v>
      </c>
      <c r="DC10" s="85">
        <f t="shared" ref="DC10" si="38">IF(DC9&lt;=$K$6,$K$6-DC9,"")</f>
        <v>0</v>
      </c>
      <c r="DD10" s="85">
        <f t="shared" ref="DD10" si="39">IF(DD9&lt;=$K$6,$K$6-DD9,"")</f>
        <v>0</v>
      </c>
      <c r="DE10" s="85">
        <f t="shared" ref="DE10" si="40">IF(DE9&lt;=$K$6,$K$6-DE9,"")</f>
        <v>0</v>
      </c>
      <c r="DF10" s="85">
        <f t="shared" ref="DF10" si="41">IF(DF9&lt;=$K$6,$K$6-DF9,"")</f>
        <v>0</v>
      </c>
      <c r="DG10" s="85">
        <f t="shared" ref="DG10" si="42">IF(DG9&lt;=$K$6,$K$6-DG9,"")</f>
        <v>0</v>
      </c>
      <c r="DH10" s="85">
        <f t="shared" ref="DH10" si="43">IF(DH9&lt;=$K$6,$K$6-DH9,"")</f>
        <v>0</v>
      </c>
      <c r="DI10" s="85">
        <f t="shared" ref="DI10" si="44">IF(DI9&lt;=$K$6,$K$6-DI9,"")</f>
        <v>0</v>
      </c>
      <c r="DJ10" s="85">
        <f t="shared" ref="DJ10" si="45">IF(DJ9&lt;=$K$6,$K$6-DJ9,"")</f>
        <v>0</v>
      </c>
      <c r="DK10" s="85">
        <f t="shared" ref="DK10" si="46">IF(DK9&lt;=$K$6,$K$6-DK9,"")</f>
        <v>0</v>
      </c>
      <c r="DL10" s="85">
        <f t="shared" ref="DL10" si="47">IF(DL9&lt;=$K$6,$K$6-DL9,"")</f>
        <v>0</v>
      </c>
      <c r="DM10" s="85">
        <f t="shared" ref="DM10" si="48">IF(DM9&lt;=$K$6,$K$6-DM9,"")</f>
        <v>0</v>
      </c>
      <c r="DN10" s="85">
        <f t="shared" ref="DN10" si="49">IF(DN9&lt;=$K$6,$K$6-DN9,"")</f>
        <v>0</v>
      </c>
      <c r="DO10" s="85">
        <f t="shared" ref="DO10" si="50">IF(DO9&lt;=$K$6,$K$6-DO9,"")</f>
        <v>0</v>
      </c>
      <c r="DP10" s="85">
        <f t="shared" ref="DP10" si="51">IF(DP9&lt;=$K$6,$K$6-DP9,"")</f>
        <v>0</v>
      </c>
      <c r="DQ10" s="85">
        <f t="shared" ref="DQ10" si="52">IF(DQ9&lt;=$K$6,$K$6-DQ9,"")</f>
        <v>0</v>
      </c>
      <c r="DR10" s="85">
        <f t="shared" ref="DR10" si="53">IF(DR9&lt;=$K$6,$K$6-DR9,"")</f>
        <v>0</v>
      </c>
      <c r="DS10" s="85">
        <f t="shared" ref="DS10" si="54">IF(DS9&lt;=$K$6,$K$6-DS9,"")</f>
        <v>0</v>
      </c>
      <c r="DT10" s="85">
        <f t="shared" ref="DT10" si="55">IF(DT9&lt;=$K$6,$K$6-DT9,"")</f>
        <v>0</v>
      </c>
      <c r="DU10" s="85">
        <f t="shared" ref="DU10" si="56">IF(DU9&lt;=$K$6,$K$6-DU9,"")</f>
        <v>0</v>
      </c>
      <c r="DV10" s="85">
        <f t="shared" ref="DV10:ET10" si="57">IF(DV9&lt;=$K$6,$K$6-DV9,"")</f>
        <v>0</v>
      </c>
      <c r="DW10" s="85">
        <f t="shared" si="57"/>
        <v>0</v>
      </c>
      <c r="DX10" s="85">
        <f t="shared" si="57"/>
        <v>0</v>
      </c>
      <c r="DY10" s="85">
        <f t="shared" si="57"/>
        <v>0</v>
      </c>
      <c r="DZ10" s="85">
        <f t="shared" si="57"/>
        <v>0</v>
      </c>
      <c r="EA10" s="85">
        <f t="shared" si="57"/>
        <v>0</v>
      </c>
      <c r="EB10" s="85">
        <f t="shared" si="57"/>
        <v>0</v>
      </c>
      <c r="EC10" s="85">
        <f t="shared" si="57"/>
        <v>0</v>
      </c>
      <c r="ED10" s="85">
        <f t="shared" si="57"/>
        <v>0</v>
      </c>
      <c r="EE10" s="85">
        <f t="shared" si="57"/>
        <v>0</v>
      </c>
      <c r="EF10" s="85">
        <f t="shared" si="57"/>
        <v>0</v>
      </c>
      <c r="EG10" s="85">
        <f t="shared" si="57"/>
        <v>0</v>
      </c>
      <c r="EH10" s="85">
        <f t="shared" si="57"/>
        <v>0</v>
      </c>
      <c r="EI10" s="85">
        <f t="shared" si="57"/>
        <v>0</v>
      </c>
      <c r="EJ10" s="85">
        <f t="shared" si="57"/>
        <v>0</v>
      </c>
      <c r="EK10" s="85">
        <f t="shared" si="57"/>
        <v>0</v>
      </c>
      <c r="EL10" s="85">
        <f t="shared" si="57"/>
        <v>0</v>
      </c>
      <c r="EM10" s="85">
        <f t="shared" si="57"/>
        <v>0</v>
      </c>
      <c r="EN10" s="85">
        <f t="shared" si="57"/>
        <v>0</v>
      </c>
      <c r="EO10" s="85">
        <f t="shared" si="57"/>
        <v>0</v>
      </c>
      <c r="EP10" s="85">
        <f t="shared" si="57"/>
        <v>0</v>
      </c>
      <c r="EQ10" s="85">
        <f t="shared" si="57"/>
        <v>0</v>
      </c>
      <c r="ER10" s="85">
        <f t="shared" si="57"/>
        <v>0</v>
      </c>
      <c r="ES10" s="85">
        <f t="shared" si="57"/>
        <v>0</v>
      </c>
      <c r="ET10" s="85">
        <f t="shared" si="57"/>
        <v>0</v>
      </c>
      <c r="EY10" s="50" t="s">
        <v>38</v>
      </c>
      <c r="EZ10" s="50" t="s">
        <v>3</v>
      </c>
      <c r="FA10" s="50" t="s">
        <v>39</v>
      </c>
      <c r="FB10" s="50" t="s">
        <v>44</v>
      </c>
      <c r="FC10" s="51" t="s">
        <v>47</v>
      </c>
      <c r="FD10" s="50" t="s">
        <v>74</v>
      </c>
      <c r="FF10" s="160" t="s">
        <v>245</v>
      </c>
      <c r="FG10" s="12" t="s">
        <v>484</v>
      </c>
      <c r="FH10" s="12" t="s">
        <v>247</v>
      </c>
      <c r="FI10" s="12" t="s">
        <v>248</v>
      </c>
      <c r="FJ10" s="12" t="s">
        <v>468</v>
      </c>
      <c r="FK10" s="131"/>
    </row>
    <row r="11" spans="5:168" ht="18" customHeight="1" x14ac:dyDescent="0.25">
      <c r="E11" s="141"/>
      <c r="F11" s="120">
        <f>VLOOKUP(H6,$FF:$FJ,5,FALSE)</f>
        <v>1.15E-2</v>
      </c>
      <c r="G11" s="145">
        <f t="shared" ref="G11:BR14" si="58">IF(G$9&lt;=$K$6,RATE($K$6,1,G38,0),"")</f>
        <v>1.9094334093860049E-2</v>
      </c>
      <c r="H11" s="52">
        <f t="shared" si="58"/>
        <v>1.9083177417714245E-2</v>
      </c>
      <c r="I11" s="52">
        <f t="shared" si="58"/>
        <v>1.9066705269424208E-2</v>
      </c>
      <c r="J11" s="52">
        <f t="shared" si="58"/>
        <v>1.9045092744071221E-2</v>
      </c>
      <c r="K11" s="52">
        <f t="shared" si="58"/>
        <v>1.9018514392243981E-2</v>
      </c>
      <c r="L11" s="52">
        <f t="shared" si="58"/>
        <v>1.8987143897611757E-2</v>
      </c>
      <c r="M11" s="52">
        <f t="shared" si="58"/>
        <v>1.8951153774642057E-2</v>
      </c>
      <c r="N11" s="52">
        <f t="shared" si="58"/>
        <v>1.8910715086529136E-2</v>
      </c>
      <c r="O11" s="52">
        <f t="shared" si="58"/>
        <v>1.8865997183278332E-2</v>
      </c>
      <c r="P11" s="52">
        <f t="shared" si="58"/>
        <v>1.8817167459766915E-2</v>
      </c>
      <c r="Q11" s="52">
        <f t="shared" si="58"/>
        <v>1.8764391133501982E-2</v>
      </c>
      <c r="R11" s="52">
        <f t="shared" si="58"/>
        <v>1.8707831041693389E-2</v>
      </c>
      <c r="S11" s="52">
        <f t="shared" si="58"/>
        <v>1.8647647457187846E-2</v>
      </c>
      <c r="T11" s="52">
        <f t="shared" si="58"/>
        <v>1.8583997922725245E-2</v>
      </c>
      <c r="U11" s="52">
        <f t="shared" si="58"/>
        <v>1.8517037102924891E-2</v>
      </c>
      <c r="V11" s="52">
        <f t="shared" si="58"/>
        <v>1.844691665335476E-2</v>
      </c>
      <c r="W11" s="52">
        <f t="shared" si="58"/>
        <v>1.83737851059948E-2</v>
      </c>
      <c r="X11" s="52">
        <f t="shared" si="58"/>
        <v>1.8297787770370263E-2</v>
      </c>
      <c r="Y11" s="52">
        <f t="shared" si="58"/>
        <v>1.8219066649609469E-2</v>
      </c>
      <c r="Z11" s="52">
        <f t="shared" si="58"/>
        <v>1.8137760370659037E-2</v>
      </c>
      <c r="AA11" s="52">
        <f t="shared" si="58"/>
        <v>1.8054004127882495E-2</v>
      </c>
      <c r="AB11" s="52">
        <f t="shared" si="58"/>
        <v>1.7967929639259736E-2</v>
      </c>
      <c r="AC11" s="52">
        <f t="shared" si="58"/>
        <v>1.7879665114413801E-2</v>
      </c>
      <c r="AD11" s="52">
        <f t="shared" si="58"/>
        <v>1.7789335233688513E-2</v>
      </c>
      <c r="AE11" s="52">
        <f t="shared" si="58"/>
        <v>1.7697061137517938E-2</v>
      </c>
      <c r="AF11" s="52">
        <f t="shared" si="58"/>
        <v>1.7602960425344958E-2</v>
      </c>
      <c r="AG11" s="52">
        <f t="shared" si="58"/>
        <v>1.7507147163357845E-2</v>
      </c>
      <c r="AH11" s="52">
        <f t="shared" si="58"/>
        <v>1.7409731900340134E-2</v>
      </c>
      <c r="AI11" s="52">
        <f t="shared" si="58"/>
        <v>1.7310821690953878E-2</v>
      </c>
      <c r="AJ11" s="52">
        <f t="shared" si="58"/>
        <v>1.721052012579331E-2</v>
      </c>
      <c r="AK11" s="52">
        <f t="shared" si="58"/>
        <v>1.7108927367585649E-2</v>
      </c>
      <c r="AL11" s="52">
        <f t="shared" si="58"/>
        <v>1.7006140192932138E-2</v>
      </c>
      <c r="AM11" s="52">
        <f t="shared" si="58"/>
        <v>1.6902252039015925E-2</v>
      </c>
      <c r="AN11" s="52">
        <f t="shared" si="58"/>
        <v>1.6797353054736289E-2</v>
      </c>
      <c r="AO11" s="52">
        <f t="shared" si="58"/>
        <v>1.6691530155749985E-2</v>
      </c>
      <c r="AP11" s="52">
        <f t="shared" si="58"/>
        <v>1.6584867082937483E-2</v>
      </c>
      <c r="AQ11" s="52">
        <f t="shared" si="58"/>
        <v>1.6477444463836869E-2</v>
      </c>
      <c r="AR11" s="52">
        <f t="shared" si="58"/>
        <v>1.6369339876616908E-2</v>
      </c>
      <c r="AS11" s="52">
        <f t="shared" si="58"/>
        <v>1.6260627916194217E-2</v>
      </c>
      <c r="AT11" s="52">
        <f t="shared" si="58"/>
        <v>1.6151380243879073E-2</v>
      </c>
      <c r="AU11" s="52">
        <f t="shared" si="58"/>
        <v>1.6041665727415222E-2</v>
      </c>
      <c r="AV11" s="52">
        <f t="shared" si="58"/>
        <v>1.5931550408362565E-2</v>
      </c>
      <c r="AW11" s="52">
        <f t="shared" si="58"/>
        <v>1.5821097640115456E-2</v>
      </c>
      <c r="AX11" s="52">
        <f t="shared" si="58"/>
        <v>1.5710368143408565E-2</v>
      </c>
      <c r="AY11" s="52">
        <f t="shared" si="58"/>
        <v>1.5599420078375295E-2</v>
      </c>
      <c r="AZ11" s="52">
        <f t="shared" si="58"/>
        <v>1.5488309116667324E-2</v>
      </c>
      <c r="BA11" s="52">
        <f t="shared" si="58"/>
        <v>1.5377088513436596E-2</v>
      </c>
      <c r="BB11" s="52">
        <f t="shared" si="58"/>
        <v>1.5265809178988624E-2</v>
      </c>
      <c r="BC11" s="52">
        <f t="shared" si="58"/>
        <v>1.5154519749939505E-2</v>
      </c>
      <c r="BD11" s="52">
        <f t="shared" si="58"/>
        <v>1.504326665972899E-2</v>
      </c>
      <c r="BE11" s="52">
        <f t="shared" si="58"/>
        <v>1.4932094208350287E-2</v>
      </c>
      <c r="BF11" s="52">
        <f t="shared" si="58"/>
        <v>1.4821044631178878E-2</v>
      </c>
      <c r="BG11" s="52">
        <f t="shared" si="58"/>
        <v>1.4710158166796975E-2</v>
      </c>
      <c r="BH11" s="52">
        <f t="shared" si="58"/>
        <v>1.4599473123716273E-2</v>
      </c>
      <c r="BI11" s="52">
        <f t="shared" si="58"/>
        <v>1.4489025945924298E-2</v>
      </c>
      <c r="BJ11" s="52">
        <f t="shared" si="58"/>
        <v>1.437885127718122E-2</v>
      </c>
      <c r="BK11" s="52">
        <f t="shared" si="58"/>
        <v>1.4268982024010961E-2</v>
      </c>
      <c r="BL11" s="52">
        <f t="shared" si="58"/>
        <v>1.4159449417338214E-2</v>
      </c>
      <c r="BM11" s="52">
        <f t="shared" si="58"/>
        <v>1.405028307272874E-2</v>
      </c>
      <c r="BN11" s="52">
        <f t="shared" si="58"/>
        <v>1.3941511049205848E-2</v>
      </c>
      <c r="BO11" s="52">
        <f t="shared" si="58"/>
        <v>1.3833159906612146E-2</v>
      </c>
      <c r="BP11" s="52">
        <f t="shared" si="58"/>
        <v>1.3725254761508085E-2</v>
      </c>
      <c r="BQ11" s="52">
        <f t="shared" si="58"/>
        <v>1.3617819341585312E-2</v>
      </c>
      <c r="BR11" s="52">
        <f t="shared" si="58"/>
        <v>1.3510876038598607E-2</v>
      </c>
      <c r="BS11" s="52">
        <f t="shared" ref="BS11:DV15" si="59">IF(BS$9&lt;=$K$6,RATE($K$6,1,BS38,0),"")</f>
        <v>1.3404445959808685E-2</v>
      </c>
      <c r="BT11" s="52">
        <f t="shared" si="59"/>
        <v>1.3298548977944061E-2</v>
      </c>
      <c r="BU11" s="52">
        <f t="shared" si="59"/>
        <v>1.3193203779687307E-2</v>
      </c>
      <c r="BV11" s="52">
        <f t="shared" si="59"/>
        <v>1.3088427912697272E-2</v>
      </c>
      <c r="BW11" s="52">
        <f t="shared" si="59"/>
        <v>1.2984237831184547E-2</v>
      </c>
      <c r="BX11" s="52">
        <f t="shared" si="59"/>
        <v>1.2880648940052218E-2</v>
      </c>
      <c r="BY11" s="52">
        <f t="shared" si="59"/>
        <v>1.2777675637629025E-2</v>
      </c>
      <c r="BZ11" s="52">
        <f t="shared" si="59"/>
        <v>1.2675331357009718E-2</v>
      </c>
      <c r="CA11" s="52">
        <f t="shared" si="59"/>
        <v>1.2573628606032205E-2</v>
      </c>
      <c r="CB11" s="52">
        <f t="shared" si="59"/>
        <v>1.2472579005913158E-2</v>
      </c>
      <c r="CC11" s="52">
        <f t="shared" si="59"/>
        <v>1.2372193328572848E-2</v>
      </c>
      <c r="CD11" s="52">
        <f t="shared" si="59"/>
        <v>1.2272481532672807E-2</v>
      </c>
      <c r="CE11" s="52">
        <f t="shared" si="59"/>
        <v>1.2173452798398578E-2</v>
      </c>
      <c r="CF11" s="52">
        <f t="shared" si="59"/>
        <v>1.2075115561015835E-2</v>
      </c>
      <c r="CG11" s="52">
        <f t="shared" si="59"/>
        <v>1.1977477543229406E-2</v>
      </c>
      <c r="CH11" s="52">
        <f t="shared" si="59"/>
        <v>1.1880545786380431E-2</v>
      </c>
      <c r="CI11" s="52">
        <f t="shared" si="59"/>
        <v>1.1784326680502801E-2</v>
      </c>
      <c r="CJ11" s="52">
        <f t="shared" si="59"/>
        <v>1.1688825993281405E-2</v>
      </c>
      <c r="CK11" s="52">
        <f t="shared" si="59"/>
        <v>1.159404889793509E-2</v>
      </c>
      <c r="CL11" s="52">
        <f t="shared" si="59"/>
        <v>1.1500000000057964E-2</v>
      </c>
      <c r="CM11" s="52">
        <f t="shared" si="59"/>
        <v>1.1500000000057964E-2</v>
      </c>
      <c r="CN11" s="52">
        <f t="shared" si="59"/>
        <v>1.1500000000057964E-2</v>
      </c>
      <c r="CO11" s="52">
        <f t="shared" si="59"/>
        <v>1.1500000000057964E-2</v>
      </c>
      <c r="CP11" s="52">
        <f t="shared" si="59"/>
        <v>1.1500000000057964E-2</v>
      </c>
      <c r="CQ11" s="52">
        <f t="shared" si="59"/>
        <v>1.1500000000057964E-2</v>
      </c>
      <c r="CR11" s="52">
        <f t="shared" si="59"/>
        <v>1.1500000000057964E-2</v>
      </c>
      <c r="CS11" s="52">
        <f t="shared" si="59"/>
        <v>1.1500000000057964E-2</v>
      </c>
      <c r="CT11" s="52">
        <f t="shared" si="59"/>
        <v>1.1500000000057964E-2</v>
      </c>
      <c r="CU11" s="52">
        <f t="shared" si="59"/>
        <v>1.1500000000057964E-2</v>
      </c>
      <c r="CV11" s="52">
        <f t="shared" si="59"/>
        <v>1.1500000000057964E-2</v>
      </c>
      <c r="CW11" s="52">
        <f t="shared" si="59"/>
        <v>1.1500000000057964E-2</v>
      </c>
      <c r="CX11" s="52">
        <f t="shared" si="59"/>
        <v>1.1500000000057964E-2</v>
      </c>
      <c r="CY11" s="142">
        <f>IF(CY$9&lt;=$K$6,RATE($K$6,1,CY38,0),"")</f>
        <v>1.1500000000057964E-2</v>
      </c>
      <c r="CZ11" s="142">
        <f t="shared" si="59"/>
        <v>1.1500000000057964E-2</v>
      </c>
      <c r="DA11" s="142">
        <f t="shared" si="59"/>
        <v>1.1500000000057964E-2</v>
      </c>
      <c r="DB11" s="142">
        <f t="shared" si="59"/>
        <v>1.1500000000057964E-2</v>
      </c>
      <c r="DC11" s="142">
        <f t="shared" si="59"/>
        <v>1.1500000000057964E-2</v>
      </c>
      <c r="DD11" s="142">
        <f t="shared" si="59"/>
        <v>1.1500000000057964E-2</v>
      </c>
      <c r="DE11" s="142">
        <f t="shared" si="59"/>
        <v>1.1500000000057964E-2</v>
      </c>
      <c r="DF11" s="142">
        <f t="shared" si="59"/>
        <v>1.1500000000057964E-2</v>
      </c>
      <c r="DG11" s="142">
        <f t="shared" si="59"/>
        <v>1.1500000000057964E-2</v>
      </c>
      <c r="DH11" s="142">
        <f t="shared" si="59"/>
        <v>1.1500000000057964E-2</v>
      </c>
      <c r="DI11" s="142">
        <f t="shared" si="59"/>
        <v>1.1500000000057964E-2</v>
      </c>
      <c r="DJ11" s="142">
        <f t="shared" si="59"/>
        <v>1.1500000000057964E-2</v>
      </c>
      <c r="DK11" s="142">
        <f t="shared" si="59"/>
        <v>1.1500000000057964E-2</v>
      </c>
      <c r="DL11" s="142">
        <f t="shared" si="59"/>
        <v>1.1500000000057964E-2</v>
      </c>
      <c r="DM11" s="142">
        <f t="shared" si="59"/>
        <v>1.1500000000057964E-2</v>
      </c>
      <c r="DN11" s="142">
        <f t="shared" si="59"/>
        <v>1.1500000000057964E-2</v>
      </c>
      <c r="DO11" s="142">
        <f t="shared" si="59"/>
        <v>1.1500000000057964E-2</v>
      </c>
      <c r="DP11" s="142">
        <f t="shared" si="59"/>
        <v>1.1500000000057964E-2</v>
      </c>
      <c r="DQ11" s="142">
        <f t="shared" si="59"/>
        <v>1.1500000000057964E-2</v>
      </c>
      <c r="DR11" s="142">
        <f t="shared" si="59"/>
        <v>1.1500000000057964E-2</v>
      </c>
      <c r="DS11" s="142">
        <f t="shared" si="59"/>
        <v>1.1500000000057964E-2</v>
      </c>
      <c r="DT11" s="142">
        <f t="shared" si="59"/>
        <v>1.1500000000057964E-2</v>
      </c>
      <c r="DU11" s="142">
        <f t="shared" si="59"/>
        <v>1.1500000000057964E-2</v>
      </c>
      <c r="DV11" s="142">
        <f t="shared" si="59"/>
        <v>1.1500000000057964E-2</v>
      </c>
      <c r="DW11" s="48">
        <f t="shared" ref="DW11:ET11" si="60">IF(DW$9&lt;=$K$6,RATE($K$6,1,DW38,0),"")</f>
        <v>1.1500000000057964E-2</v>
      </c>
      <c r="DX11" s="48">
        <f t="shared" si="60"/>
        <v>1.1500000000057964E-2</v>
      </c>
      <c r="DY11" s="48">
        <f t="shared" si="60"/>
        <v>1.1500000000057964E-2</v>
      </c>
      <c r="DZ11" s="48">
        <f t="shared" si="60"/>
        <v>1.1500000000057964E-2</v>
      </c>
      <c r="EA11" s="48">
        <f t="shared" si="60"/>
        <v>1.1500000000057964E-2</v>
      </c>
      <c r="EB11" s="48">
        <f t="shared" si="60"/>
        <v>1.1500000000057964E-2</v>
      </c>
      <c r="EC11" s="48">
        <f t="shared" si="60"/>
        <v>1.1500000000057964E-2</v>
      </c>
      <c r="ED11" s="48">
        <f t="shared" si="60"/>
        <v>1.1500000000057964E-2</v>
      </c>
      <c r="EE11" s="48">
        <f t="shared" si="60"/>
        <v>1.1500000000057964E-2</v>
      </c>
      <c r="EF11" s="48">
        <f t="shared" si="60"/>
        <v>1.1500000000057964E-2</v>
      </c>
      <c r="EG11" s="48">
        <f t="shared" si="60"/>
        <v>1.1500000000057964E-2</v>
      </c>
      <c r="EH11" s="48">
        <f t="shared" si="60"/>
        <v>1.1500000000057964E-2</v>
      </c>
      <c r="EI11" s="48">
        <f t="shared" si="60"/>
        <v>1.1500000000057964E-2</v>
      </c>
      <c r="EJ11" s="48">
        <f t="shared" si="60"/>
        <v>1.1500000000057964E-2</v>
      </c>
      <c r="EK11" s="48">
        <f t="shared" si="60"/>
        <v>1.1500000000057964E-2</v>
      </c>
      <c r="EL11" s="48">
        <f t="shared" si="60"/>
        <v>1.1500000000057964E-2</v>
      </c>
      <c r="EM11" s="48">
        <f t="shared" si="60"/>
        <v>1.1500000000057964E-2</v>
      </c>
      <c r="EN11" s="48">
        <f t="shared" si="60"/>
        <v>1.1500000000057964E-2</v>
      </c>
      <c r="EO11" s="48">
        <f t="shared" si="60"/>
        <v>1.1500000000057964E-2</v>
      </c>
      <c r="EP11" s="48">
        <f t="shared" si="60"/>
        <v>1.1500000000057964E-2</v>
      </c>
      <c r="EQ11" s="48">
        <f t="shared" si="60"/>
        <v>1.1500000000057964E-2</v>
      </c>
      <c r="ER11" s="48">
        <f t="shared" si="60"/>
        <v>1.1500000000057964E-2</v>
      </c>
      <c r="ES11" s="48">
        <f t="shared" si="60"/>
        <v>1.1500000000057964E-2</v>
      </c>
      <c r="ET11" s="48">
        <f t="shared" si="60"/>
        <v>1.1500000000057964E-2</v>
      </c>
      <c r="EY11" t="s">
        <v>127</v>
      </c>
      <c r="FA11" s="47">
        <v>1.6E-2</v>
      </c>
      <c r="FB11">
        <v>96</v>
      </c>
      <c r="FC11" s="47">
        <v>1.9E-2</v>
      </c>
      <c r="FF11" s="130" t="s">
        <v>127</v>
      </c>
      <c r="FG11" s="12">
        <v>2.1000000000000001E-2</v>
      </c>
      <c r="FH11" s="12">
        <v>96</v>
      </c>
      <c r="FI11" s="12">
        <v>1.5600000000000001E-2</v>
      </c>
      <c r="FJ11" s="82">
        <v>1.3000000000000001E-2</v>
      </c>
      <c r="FK11" s="134">
        <f>(FG11-FJ11)/18</f>
        <v>4.4444444444444447E-4</v>
      </c>
      <c r="FL11">
        <f>VLOOKUP(FF11,'SIMULADOR COM SALDO'!$BF$22:$BS$268,13,FALSE)</f>
        <v>2.1000000000000001E-2</v>
      </c>
    </row>
    <row r="12" spans="5:168" ht="18" customHeight="1" x14ac:dyDescent="0.25">
      <c r="E12" s="141"/>
      <c r="F12" s="121">
        <f>IF(F11&lt;$J$6,F11+VLOOKUP($H$6,$FF:$FK,6,FALSE),$J$6)</f>
        <v>1.1922222222222221E-2</v>
      </c>
      <c r="G12" s="52">
        <f t="shared" si="58"/>
        <v>1.9094651058298051E-2</v>
      </c>
      <c r="H12" s="52">
        <f t="shared" si="58"/>
        <v>1.9084120479331407E-2</v>
      </c>
      <c r="I12" s="52">
        <f t="shared" si="58"/>
        <v>1.9068575406014594E-2</v>
      </c>
      <c r="J12" s="52">
        <f t="shared" si="58"/>
        <v>1.9048182497780154E-2</v>
      </c>
      <c r="K12" s="52">
        <f t="shared" si="58"/>
        <v>1.902310763011943E-2</v>
      </c>
      <c r="L12" s="52">
        <f t="shared" si="58"/>
        <v>1.8993515611946291E-2</v>
      </c>
      <c r="M12" s="52">
        <f t="shared" si="58"/>
        <v>1.8959569921504219E-2</v>
      </c>
      <c r="N12" s="52">
        <f t="shared" si="58"/>
        <v>1.8921432460765688E-2</v>
      </c>
      <c r="O12" s="52">
        <f t="shared" si="58"/>
        <v>1.8879263328177479E-2</v>
      </c>
      <c r="P12" s="52">
        <f t="shared" si="58"/>
        <v>1.8833220609500885E-2</v>
      </c>
      <c r="Q12" s="52">
        <f t="shared" si="58"/>
        <v>1.8783460186417623E-2</v>
      </c>
      <c r="R12" s="52">
        <f t="shared" si="58"/>
        <v>1.873013556249066E-2</v>
      </c>
      <c r="S12" s="52">
        <f t="shared" si="58"/>
        <v>1.8673397706008593E-2</v>
      </c>
      <c r="T12" s="52">
        <f t="shared" si="58"/>
        <v>1.8613394909181014E-2</v>
      </c>
      <c r="U12" s="52">
        <f t="shared" si="58"/>
        <v>1.855027266310821E-2</v>
      </c>
      <c r="V12" s="52">
        <f t="shared" si="58"/>
        <v>1.8484173547907785E-2</v>
      </c>
      <c r="W12" s="52">
        <f t="shared" si="58"/>
        <v>1.8415237137349688E-2</v>
      </c>
      <c r="X12" s="52">
        <f t="shared" si="58"/>
        <v>1.8343599917326859E-2</v>
      </c>
      <c r="Y12" s="52">
        <f t="shared" si="58"/>
        <v>1.826939521747482E-2</v>
      </c>
      <c r="Z12" s="52">
        <f t="shared" si="58"/>
        <v>1.8192753155237277E-2</v>
      </c>
      <c r="AA12" s="52">
        <f t="shared" si="58"/>
        <v>1.8113800591675808E-2</v>
      </c>
      <c r="AB12" s="52">
        <f t="shared" si="58"/>
        <v>1.8032661098317259E-2</v>
      </c>
      <c r="AC12" s="52">
        <f t="shared" si="58"/>
        <v>1.7949454934341049E-2</v>
      </c>
      <c r="AD12" s="52">
        <f t="shared" si="58"/>
        <v>1.7864299033413619E-2</v>
      </c>
      <c r="AE12" s="52">
        <f t="shared" si="58"/>
        <v>1.777730699949305E-2</v>
      </c>
      <c r="AF12" s="52">
        <f t="shared" si="58"/>
        <v>1.7688589110941216E-2</v>
      </c>
      <c r="AG12" s="52">
        <f t="shared" si="58"/>
        <v>1.7598252332297726E-2</v>
      </c>
      <c r="AH12" s="52">
        <f t="shared" si="58"/>
        <v>1.7506400333091341E-2</v>
      </c>
      <c r="AI12" s="52">
        <f t="shared" si="58"/>
        <v>1.7413133513088718E-2</v>
      </c>
      <c r="AJ12" s="52">
        <f t="shared" si="58"/>
        <v>1.7318549033397468E-2</v>
      </c>
      <c r="AK12" s="52">
        <f t="shared" si="58"/>
        <v>1.7222740852875281E-2</v>
      </c>
      <c r="AL12" s="52">
        <f t="shared" si="58"/>
        <v>1.7125799769310057E-2</v>
      </c>
      <c r="AM12" s="52">
        <f t="shared" si="58"/>
        <v>1.7027813464874333E-2</v>
      </c>
      <c r="AN12" s="52">
        <f t="shared" si="58"/>
        <v>1.6928866555372471E-2</v>
      </c>
      <c r="AO12" s="52">
        <f t="shared" si="58"/>
        <v>1.682904064283381E-2</v>
      </c>
      <c r="AP12" s="52">
        <f t="shared" si="58"/>
        <v>1.6728414371025794E-2</v>
      </c>
      <c r="AQ12" s="52">
        <f t="shared" si="58"/>
        <v>1.662706348348959E-2</v>
      </c>
      <c r="AR12" s="52">
        <f t="shared" si="58"/>
        <v>1.6525060883724279E-2</v>
      </c>
      <c r="AS12" s="52">
        <f t="shared" si="58"/>
        <v>1.6422476697174161E-2</v>
      </c>
      <c r="AT12" s="52">
        <f t="shared" si="58"/>
        <v>1.6319378334689862E-2</v>
      </c>
      <c r="AU12" s="52">
        <f t="shared" si="58"/>
        <v>1.6215830557168132E-2</v>
      </c>
      <c r="AV12" s="52">
        <f t="shared" si="58"/>
        <v>1.6111895522081251E-2</v>
      </c>
      <c r="AW12" s="52">
        <f t="shared" si="58"/>
        <v>1.6007632923501214E-2</v>
      </c>
      <c r="AX12" s="52">
        <f t="shared" si="58"/>
        <v>1.5903099950952904E-2</v>
      </c>
      <c r="AY12" s="52">
        <f t="shared" si="58"/>
        <v>1.5798351426123371E-2</v>
      </c>
      <c r="AZ12" s="52">
        <f t="shared" si="58"/>
        <v>1.5693439852586966E-2</v>
      </c>
      <c r="BA12" s="52">
        <f t="shared" si="58"/>
        <v>1.5588415482386986E-2</v>
      </c>
      <c r="BB12" s="52">
        <f t="shared" si="58"/>
        <v>1.5483326382267163E-2</v>
      </c>
      <c r="BC12" s="52">
        <f t="shared" si="58"/>
        <v>1.5378218499409093E-2</v>
      </c>
      <c r="BD12" s="52">
        <f t="shared" si="58"/>
        <v>1.527313572654203E-2</v>
      </c>
      <c r="BE12" s="52">
        <f t="shared" si="58"/>
        <v>1.5168119966310714E-2</v>
      </c>
      <c r="BF12" s="52">
        <f t="shared" si="58"/>
        <v>1.5063211194792479E-2</v>
      </c>
      <c r="BG12" s="52">
        <f t="shared" si="58"/>
        <v>1.4958447524077174E-2</v>
      </c>
      <c r="BH12" s="52">
        <f t="shared" si="58"/>
        <v>1.4853865263824935E-2</v>
      </c>
      <c r="BI12" s="52">
        <f t="shared" si="58"/>
        <v>1.4749498981735113E-2</v>
      </c>
      <c r="BJ12" s="52">
        <f t="shared" si="58"/>
        <v>1.464538156286525E-2</v>
      </c>
      <c r="BK12" s="52">
        <f t="shared" si="58"/>
        <v>1.4541544267749246E-2</v>
      </c>
      <c r="BL12" s="52">
        <f t="shared" si="58"/>
        <v>1.4438016789272852E-2</v>
      </c>
      <c r="BM12" s="52">
        <f t="shared" si="58"/>
        <v>1.4334827308272131E-2</v>
      </c>
      <c r="BN12" s="52">
        <f t="shared" si="58"/>
        <v>1.4232002547827249E-2</v>
      </c>
      <c r="BO12" s="52">
        <f t="shared" si="58"/>
        <v>1.4129567826229095E-2</v>
      </c>
      <c r="BP12" s="52">
        <f t="shared" si="58"/>
        <v>1.4027547108606668E-2</v>
      </c>
      <c r="BQ12" s="52">
        <f t="shared" si="58"/>
        <v>1.3925963057203124E-2</v>
      </c>
      <c r="BR12" s="52">
        <f t="shared" si="58"/>
        <v>1.3824837080296918E-2</v>
      </c>
      <c r="BS12" s="52">
        <f t="shared" si="59"/>
        <v>1.3724189379766957E-2</v>
      </c>
      <c r="BT12" s="52">
        <f t="shared" si="59"/>
        <v>1.362403899730588E-2</v>
      </c>
      <c r="BU12" s="52">
        <f t="shared" si="59"/>
        <v>1.3524403859287767E-2</v>
      </c>
      <c r="BV12" s="52">
        <f t="shared" si="59"/>
        <v>1.3425300820303264E-2</v>
      </c>
      <c r="BW12" s="52">
        <f t="shared" si="59"/>
        <v>1.332674570537073E-2</v>
      </c>
      <c r="BX12" s="52">
        <f t="shared" si="59"/>
        <v>1.3228753350844469E-2</v>
      </c>
      <c r="BY12" s="52">
        <f t="shared" si="59"/>
        <v>1.3131337644033148E-2</v>
      </c>
      <c r="BZ12" s="52">
        <f t="shared" si="59"/>
        <v>1.3034511561551094E-2</v>
      </c>
      <c r="CA12" s="52">
        <f t="shared" si="59"/>
        <v>1.2938287206423999E-2</v>
      </c>
      <c r="CB12" s="52">
        <f t="shared" si="59"/>
        <v>1.2842675843969019E-2</v>
      </c>
      <c r="CC12" s="52">
        <f t="shared" si="59"/>
        <v>1.2747687936477859E-2</v>
      </c>
      <c r="CD12" s="52">
        <f t="shared" si="59"/>
        <v>1.2653333176723743E-2</v>
      </c>
      <c r="CE12" s="52">
        <f t="shared" si="59"/>
        <v>1.2559620520319491E-2</v>
      </c>
      <c r="CF12" s="52">
        <f t="shared" si="59"/>
        <v>1.2466558216956948E-2</v>
      </c>
      <c r="CG12" s="52">
        <f t="shared" si="59"/>
        <v>1.2374153840547077E-2</v>
      </c>
      <c r="CH12" s="52">
        <f t="shared" si="59"/>
        <v>1.2282414318297484E-2</v>
      </c>
      <c r="CI12" s="52">
        <f t="shared" si="59"/>
        <v>1.2191345958745218E-2</v>
      </c>
      <c r="CJ12" s="52">
        <f t="shared" si="59"/>
        <v>1.210095447878329E-2</v>
      </c>
      <c r="CK12" s="52">
        <f t="shared" si="59"/>
        <v>1.2011245029698064E-2</v>
      </c>
      <c r="CL12" s="52">
        <f t="shared" si="59"/>
        <v>1.1922222222255063E-2</v>
      </c>
      <c r="CM12" s="52">
        <f t="shared" si="59"/>
        <v>1.1922222222255063E-2</v>
      </c>
      <c r="CN12" s="52">
        <f t="shared" si="59"/>
        <v>1.1922222222255063E-2</v>
      </c>
      <c r="CO12" s="52">
        <f t="shared" si="59"/>
        <v>1.1922222222255063E-2</v>
      </c>
      <c r="CP12" s="52">
        <f t="shared" si="59"/>
        <v>1.1922222222255063E-2</v>
      </c>
      <c r="CQ12" s="52">
        <f t="shared" si="59"/>
        <v>1.1922222222255063E-2</v>
      </c>
      <c r="CR12" s="52">
        <f t="shared" si="59"/>
        <v>1.1922222222255063E-2</v>
      </c>
      <c r="CS12" s="52">
        <f t="shared" si="59"/>
        <v>1.1922222222255063E-2</v>
      </c>
      <c r="CT12" s="52">
        <f t="shared" si="59"/>
        <v>1.1922222222255063E-2</v>
      </c>
      <c r="CU12" s="52">
        <f t="shared" si="59"/>
        <v>1.1922222222255063E-2</v>
      </c>
      <c r="CV12" s="52">
        <f t="shared" si="59"/>
        <v>1.1922222222255063E-2</v>
      </c>
      <c r="CW12" s="52">
        <f t="shared" si="59"/>
        <v>1.1922222222255063E-2</v>
      </c>
      <c r="CX12" s="52">
        <f t="shared" si="59"/>
        <v>1.1922222222255063E-2</v>
      </c>
      <c r="CY12" s="142">
        <f t="shared" si="59"/>
        <v>1.1922222222255063E-2</v>
      </c>
      <c r="CZ12" s="142">
        <f t="shared" si="59"/>
        <v>1.1922222222255063E-2</v>
      </c>
      <c r="DA12" s="142">
        <f t="shared" si="59"/>
        <v>1.1922222222255063E-2</v>
      </c>
      <c r="DB12" s="142">
        <f t="shared" si="59"/>
        <v>1.1922222222255063E-2</v>
      </c>
      <c r="DC12" s="142">
        <f t="shared" si="59"/>
        <v>1.1922222222255063E-2</v>
      </c>
      <c r="DD12" s="142">
        <f t="shared" si="59"/>
        <v>1.1922222222255063E-2</v>
      </c>
      <c r="DE12" s="142">
        <f t="shared" si="59"/>
        <v>1.1922222222255063E-2</v>
      </c>
      <c r="DF12" s="142">
        <f t="shared" si="59"/>
        <v>1.1922222222255063E-2</v>
      </c>
      <c r="DG12" s="142">
        <f t="shared" si="59"/>
        <v>1.1922222222255063E-2</v>
      </c>
      <c r="DH12" s="142">
        <f t="shared" si="59"/>
        <v>1.1922222222255063E-2</v>
      </c>
      <c r="DI12" s="142">
        <f t="shared" si="59"/>
        <v>1.1922222222255063E-2</v>
      </c>
      <c r="DJ12" s="142">
        <f t="shared" si="59"/>
        <v>1.1922222222255063E-2</v>
      </c>
      <c r="DK12" s="142">
        <f t="shared" si="59"/>
        <v>1.1922222222255063E-2</v>
      </c>
      <c r="DL12" s="142">
        <f t="shared" si="59"/>
        <v>1.1922222222255063E-2</v>
      </c>
      <c r="DM12" s="142">
        <f t="shared" si="59"/>
        <v>1.1922222222255063E-2</v>
      </c>
      <c r="DN12" s="142">
        <f t="shared" si="59"/>
        <v>1.1922222222255063E-2</v>
      </c>
      <c r="DO12" s="142">
        <f t="shared" si="59"/>
        <v>1.1922222222255063E-2</v>
      </c>
      <c r="DP12" s="142">
        <f t="shared" si="59"/>
        <v>1.1922222222255063E-2</v>
      </c>
      <c r="DQ12" s="142">
        <f t="shared" si="59"/>
        <v>1.1922222222255063E-2</v>
      </c>
      <c r="DR12" s="142">
        <f t="shared" si="59"/>
        <v>1.1922222222255063E-2</v>
      </c>
      <c r="DS12" s="142">
        <f t="shared" si="59"/>
        <v>1.1922222222255063E-2</v>
      </c>
      <c r="DT12" s="142">
        <f t="shared" si="59"/>
        <v>1.1922222222255063E-2</v>
      </c>
      <c r="DU12" s="142">
        <f t="shared" si="59"/>
        <v>1.1922222222255063E-2</v>
      </c>
      <c r="DV12" s="142">
        <f t="shared" si="59"/>
        <v>1.1922222222255063E-2</v>
      </c>
      <c r="DW12" s="48">
        <f t="shared" ref="DW12:ET12" si="61">IF(DW$9&lt;=$K$6,RATE($K$6,1,DW39,0),"")</f>
        <v>1.1922222222255063E-2</v>
      </c>
      <c r="DX12" s="48">
        <f t="shared" si="61"/>
        <v>1.1922222222255063E-2</v>
      </c>
      <c r="DY12" s="48">
        <f t="shared" si="61"/>
        <v>1.1922222222255063E-2</v>
      </c>
      <c r="DZ12" s="48">
        <f t="shared" si="61"/>
        <v>1.1922222222255063E-2</v>
      </c>
      <c r="EA12" s="48">
        <f t="shared" si="61"/>
        <v>1.1922222222255063E-2</v>
      </c>
      <c r="EB12" s="48">
        <f t="shared" si="61"/>
        <v>1.1922222222255063E-2</v>
      </c>
      <c r="EC12" s="48">
        <f t="shared" si="61"/>
        <v>1.1922222222255063E-2</v>
      </c>
      <c r="ED12" s="48">
        <f t="shared" si="61"/>
        <v>1.1922222222255063E-2</v>
      </c>
      <c r="EE12" s="48">
        <f t="shared" si="61"/>
        <v>1.1922222222255063E-2</v>
      </c>
      <c r="EF12" s="48">
        <f t="shared" si="61"/>
        <v>1.1922222222255063E-2</v>
      </c>
      <c r="EG12" s="48">
        <f t="shared" si="61"/>
        <v>1.1922222222255063E-2</v>
      </c>
      <c r="EH12" s="48">
        <f t="shared" si="61"/>
        <v>1.1922222222255063E-2</v>
      </c>
      <c r="EI12" s="48">
        <f t="shared" si="61"/>
        <v>1.1922222222255063E-2</v>
      </c>
      <c r="EJ12" s="48">
        <f t="shared" si="61"/>
        <v>1.1922222222255063E-2</v>
      </c>
      <c r="EK12" s="48">
        <f t="shared" si="61"/>
        <v>1.1922222222255063E-2</v>
      </c>
      <c r="EL12" s="48">
        <f t="shared" si="61"/>
        <v>1.1922222222255063E-2</v>
      </c>
      <c r="EM12" s="48">
        <f t="shared" si="61"/>
        <v>1.1922222222255063E-2</v>
      </c>
      <c r="EN12" s="48">
        <f t="shared" si="61"/>
        <v>1.1922222222255063E-2</v>
      </c>
      <c r="EO12" s="48">
        <f t="shared" si="61"/>
        <v>1.1922222222255063E-2</v>
      </c>
      <c r="EP12" s="48">
        <f t="shared" si="61"/>
        <v>1.1922222222255063E-2</v>
      </c>
      <c r="EQ12" s="48">
        <f t="shared" si="61"/>
        <v>1.1922222222255063E-2</v>
      </c>
      <c r="ER12" s="48">
        <f t="shared" si="61"/>
        <v>1.1922222222255063E-2</v>
      </c>
      <c r="ES12" s="48">
        <f t="shared" si="61"/>
        <v>1.1922222222255063E-2</v>
      </c>
      <c r="ET12" s="48">
        <f t="shared" si="61"/>
        <v>1.1922222222255063E-2</v>
      </c>
      <c r="EY12" t="s">
        <v>35</v>
      </c>
      <c r="FA12" s="47">
        <v>1.61E-2</v>
      </c>
      <c r="FB12">
        <v>72</v>
      </c>
      <c r="FC12" s="47">
        <v>2.0500000000000001E-2</v>
      </c>
      <c r="FF12" s="130" t="s">
        <v>129</v>
      </c>
      <c r="FG12" s="12">
        <v>2.6000000000000002E-2</v>
      </c>
      <c r="FH12" s="12">
        <v>120</v>
      </c>
      <c r="FI12" s="12">
        <v>2.35E-2</v>
      </c>
      <c r="FJ12" s="82">
        <v>1.8500000000000003E-2</v>
      </c>
      <c r="FK12" s="134">
        <f t="shared" ref="FK12:FK75" si="62">(FG12-FJ12)/18</f>
        <v>4.1666666666666664E-4</v>
      </c>
      <c r="FL12">
        <f>VLOOKUP(FF12,'SIMULADOR COM SALDO'!$BF$22:$BS$268,13,FALSE)</f>
        <v>2.6000000000000002E-2</v>
      </c>
    </row>
    <row r="13" spans="5:168" ht="18" customHeight="1" x14ac:dyDescent="0.25">
      <c r="E13" s="141"/>
      <c r="F13" s="121">
        <f t="shared" ref="F13:F29" si="63">IF(F12&lt;$J$6,F12+VLOOKUP($H$6,$FF:$FK,6,FALSE),$J$6)</f>
        <v>1.2344444444444443E-2</v>
      </c>
      <c r="G13" s="52">
        <f t="shared" si="58"/>
        <v>1.9094967763183385E-2</v>
      </c>
      <c r="H13" s="52">
        <f t="shared" si="58"/>
        <v>1.9085062536115558E-2</v>
      </c>
      <c r="I13" s="52">
        <f t="shared" si="58"/>
        <v>1.9070443117008649E-2</v>
      </c>
      <c r="J13" s="52">
        <f t="shared" si="58"/>
        <v>1.9051267574157298E-2</v>
      </c>
      <c r="K13" s="52">
        <f t="shared" si="58"/>
        <v>1.9027692984493451E-2</v>
      </c>
      <c r="L13" s="52">
        <f t="shared" si="58"/>
        <v>1.899987518844988E-2</v>
      </c>
      <c r="M13" s="52">
        <f t="shared" si="58"/>
        <v>1.8967968561735805E-2</v>
      </c>
      <c r="N13" s="52">
        <f t="shared" si="58"/>
        <v>1.8932125803886663E-2</v>
      </c>
      <c r="O13" s="52">
        <f t="shared" si="58"/>
        <v>1.8892497743366259E-2</v>
      </c>
      <c r="P13" s="52">
        <f t="shared" si="58"/>
        <v>1.8849233158925421E-2</v>
      </c>
      <c r="Q13" s="52">
        <f t="shared" si="58"/>
        <v>1.8802478616848663E-2</v>
      </c>
      <c r="R13" s="52">
        <f t="shared" si="58"/>
        <v>1.8752378323667575E-2</v>
      </c>
      <c r="S13" s="52">
        <f t="shared" si="58"/>
        <v>1.8699073993863554E-2</v>
      </c>
      <c r="T13" s="52">
        <f t="shared" si="58"/>
        <v>1.8642704732044948E-2</v>
      </c>
      <c r="U13" s="52">
        <f t="shared" si="58"/>
        <v>1.858340692904251E-2</v>
      </c>
      <c r="V13" s="52">
        <f t="shared" si="58"/>
        <v>1.8521314171344273E-2</v>
      </c>
      <c r="W13" s="52">
        <f t="shared" si="58"/>
        <v>1.8456557163264258E-2</v>
      </c>
      <c r="X13" s="52">
        <f t="shared" si="58"/>
        <v>1.8389263661228155E-2</v>
      </c>
      <c r="Y13" s="52">
        <f t="shared" si="58"/>
        <v>1.8319558419544878E-2</v>
      </c>
      <c r="Z13" s="52">
        <f t="shared" si="58"/>
        <v>1.824756314703067E-2</v>
      </c>
      <c r="AA13" s="52">
        <f t="shared" si="58"/>
        <v>1.817339647385104E-2</v>
      </c>
      <c r="AB13" s="52">
        <f t="shared" si="58"/>
        <v>1.8097173927947196E-2</v>
      </c>
      <c r="AC13" s="52">
        <f t="shared" si="58"/>
        <v>1.8019007920425219E-2</v>
      </c>
      <c r="AD13" s="52">
        <f t="shared" si="58"/>
        <v>1.7939007739293817E-2</v>
      </c>
      <c r="AE13" s="52">
        <f t="shared" si="58"/>
        <v>1.7857279550947437E-2</v>
      </c>
      <c r="AF13" s="52">
        <f t="shared" si="58"/>
        <v>1.7773926408815151E-2</v>
      </c>
      <c r="AG13" s="52">
        <f t="shared" si="58"/>
        <v>1.7689048268601012E-2</v>
      </c>
      <c r="AH13" s="52">
        <f t="shared" si="58"/>
        <v>1.760274200957479E-2</v>
      </c>
      <c r="AI13" s="52">
        <f t="shared" si="58"/>
        <v>1.7515101461379808E-2</v>
      </c>
      <c r="AJ13" s="52">
        <f t="shared" si="58"/>
        <v>1.7426217435856192E-2</v>
      </c>
      <c r="AK13" s="52">
        <f t="shared" si="58"/>
        <v>1.7336177763392715E-2</v>
      </c>
      <c r="AL13" s="52">
        <f t="shared" si="58"/>
        <v>1.7245067333348733E-2</v>
      </c>
      <c r="AM13" s="52">
        <f t="shared" si="58"/>
        <v>1.7152968138108533E-2</v>
      </c>
      <c r="AN13" s="52">
        <f t="shared" si="58"/>
        <v>1.7059959320352206E-2</v>
      </c>
      <c r="AO13" s="52">
        <f t="shared" si="58"/>
        <v>1.6966117223155164E-2</v>
      </c>
      <c r="AP13" s="52">
        <f t="shared" si="58"/>
        <v>1.6871515442545164E-2</v>
      </c>
      <c r="AQ13" s="52">
        <f t="shared" si="58"/>
        <v>1.6776224882173806E-2</v>
      </c>
      <c r="AR13" s="52">
        <f t="shared" si="58"/>
        <v>1.6680313809779461E-2</v>
      </c>
      <c r="AS13" s="52">
        <f t="shared" si="58"/>
        <v>1.6583847915139113E-2</v>
      </c>
      <c r="AT13" s="52">
        <f t="shared" si="58"/>
        <v>1.6486890369229908E-2</v>
      </c>
      <c r="AU13" s="52">
        <f t="shared" si="58"/>
        <v>1.6389501884339609E-2</v>
      </c>
      <c r="AV13" s="52">
        <f t="shared" si="58"/>
        <v>1.6291740774886914E-2</v>
      </c>
      <c r="AW13" s="52">
        <f t="shared" si="58"/>
        <v>1.6193663001283651E-2</v>
      </c>
      <c r="AX13" s="52">
        <f t="shared" si="58"/>
        <v>1.6095322299409544E-2</v>
      </c>
      <c r="AY13" s="52">
        <f t="shared" si="58"/>
        <v>1.5996770143119992E-2</v>
      </c>
      <c r="AZ13" s="52">
        <f t="shared" si="58"/>
        <v>1.5898055870334174E-2</v>
      </c>
      <c r="BA13" s="52">
        <f t="shared" si="58"/>
        <v>1.5799226728691846E-2</v>
      </c>
      <c r="BB13" s="52">
        <f t="shared" si="58"/>
        <v>1.5700327936575414E-2</v>
      </c>
      <c r="BC13" s="52">
        <f t="shared" si="58"/>
        <v>1.5601402743637829E-2</v>
      </c>
      <c r="BD13" s="52">
        <f t="shared" si="58"/>
        <v>1.5502492490722088E-2</v>
      </c>
      <c r="BE13" s="52">
        <f t="shared" si="58"/>
        <v>1.5403636669074941E-2</v>
      </c>
      <c r="BF13" s="52">
        <f t="shared" si="58"/>
        <v>1.5304872978760651E-2</v>
      </c>
      <c r="BG13" s="52">
        <f t="shared" si="58"/>
        <v>1.5206237386200564E-2</v>
      </c>
      <c r="BH13" s="52">
        <f t="shared" si="58"/>
        <v>1.5107764180763121E-2</v>
      </c>
      <c r="BI13" s="52">
        <f t="shared" si="58"/>
        <v>1.5009486030351092E-2</v>
      </c>
      <c r="BJ13" s="52">
        <f t="shared" si="58"/>
        <v>1.491143403592923E-2</v>
      </c>
      <c r="BK13" s="52">
        <f t="shared" si="58"/>
        <v>1.4813637784950956E-2</v>
      </c>
      <c r="BL13" s="52">
        <f t="shared" si="58"/>
        <v>1.471612540364972E-2</v>
      </c>
      <c r="BM13" s="52">
        <f t="shared" si="58"/>
        <v>1.4618923608160379E-2</v>
      </c>
      <c r="BN13" s="52">
        <f t="shared" si="58"/>
        <v>1.4522057754452179E-2</v>
      </c>
      <c r="BO13" s="52">
        <f t="shared" si="58"/>
        <v>1.4425551887054132E-2</v>
      </c>
      <c r="BP13" s="52">
        <f t="shared" si="58"/>
        <v>1.4329428786557012E-2</v>
      </c>
      <c r="BQ13" s="52">
        <f t="shared" si="58"/>
        <v>1.4233710015889694E-2</v>
      </c>
      <c r="BR13" s="52">
        <f t="shared" si="58"/>
        <v>1.4138415965361825E-2</v>
      </c>
      <c r="BS13" s="52">
        <f t="shared" si="59"/>
        <v>1.404356589647226E-2</v>
      </c>
      <c r="BT13" s="52">
        <f t="shared" si="59"/>
        <v>1.3949177984492543E-2</v>
      </c>
      <c r="BU13" s="52">
        <f t="shared" si="59"/>
        <v>1.3855269359825275E-2</v>
      </c>
      <c r="BV13" s="52">
        <f t="shared" si="59"/>
        <v>1.3761856148151655E-2</v>
      </c>
      <c r="BW13" s="52">
        <f t="shared" si="59"/>
        <v>1.3668953509376528E-2</v>
      </c>
      <c r="BX13" s="52">
        <f t="shared" si="59"/>
        <v>1.3576575675390144E-2</v>
      </c>
      <c r="BY13" s="52">
        <f t="shared" si="59"/>
        <v>1.3484735986656733E-2</v>
      </c>
      <c r="BZ13" s="52">
        <f t="shared" si="59"/>
        <v>1.3393446927651117E-2</v>
      </c>
      <c r="CA13" s="52">
        <f t="shared" si="59"/>
        <v>1.3302720161163753E-2</v>
      </c>
      <c r="CB13" s="52">
        <f t="shared" si="59"/>
        <v>1.3212566561489104E-2</v>
      </c>
      <c r="CC13" s="52">
        <f t="shared" si="59"/>
        <v>1.3122996246527206E-2</v>
      </c>
      <c r="CD13" s="52">
        <f t="shared" si="59"/>
        <v>1.3034018608812949E-2</v>
      </c>
      <c r="CE13" s="52">
        <f t="shared" si="59"/>
        <v>1.2945642345500351E-2</v>
      </c>
      <c r="CF13" s="52">
        <f t="shared" si="59"/>
        <v>1.2857875487325981E-2</v>
      </c>
      <c r="CG13" s="52">
        <f t="shared" si="59"/>
        <v>1.2770725426573095E-2</v>
      </c>
      <c r="CH13" s="52">
        <f t="shared" si="59"/>
        <v>1.2684198944062867E-2</v>
      </c>
      <c r="CI13" s="52">
        <f t="shared" si="59"/>
        <v>1.2598302235198264E-2</v>
      </c>
      <c r="CJ13" s="52">
        <f t="shared" si="59"/>
        <v>1.2513040935082301E-2</v>
      </c>
      <c r="CK13" s="52">
        <f t="shared" si="59"/>
        <v>1.2428420142739439E-2</v>
      </c>
      <c r="CL13" s="52">
        <f t="shared" si="59"/>
        <v>1.2344444444462718E-2</v>
      </c>
      <c r="CM13" s="52">
        <f t="shared" si="59"/>
        <v>1.2344444444462718E-2</v>
      </c>
      <c r="CN13" s="52">
        <f t="shared" si="59"/>
        <v>1.2344444444462718E-2</v>
      </c>
      <c r="CO13" s="52">
        <f t="shared" si="59"/>
        <v>1.2344444444462718E-2</v>
      </c>
      <c r="CP13" s="52">
        <f t="shared" si="59"/>
        <v>1.2344444444462718E-2</v>
      </c>
      <c r="CQ13" s="52">
        <f t="shared" si="59"/>
        <v>1.2344444444462718E-2</v>
      </c>
      <c r="CR13" s="52">
        <f t="shared" si="59"/>
        <v>1.2344444444462718E-2</v>
      </c>
      <c r="CS13" s="52">
        <f t="shared" si="59"/>
        <v>1.2344444444462718E-2</v>
      </c>
      <c r="CT13" s="52">
        <f t="shared" si="59"/>
        <v>1.2344444444462718E-2</v>
      </c>
      <c r="CU13" s="52">
        <f t="shared" si="59"/>
        <v>1.2344444444462718E-2</v>
      </c>
      <c r="CV13" s="52">
        <f t="shared" si="59"/>
        <v>1.2344444444462718E-2</v>
      </c>
      <c r="CW13" s="52">
        <f t="shared" si="59"/>
        <v>1.2344444444462718E-2</v>
      </c>
      <c r="CX13" s="52">
        <f t="shared" si="59"/>
        <v>1.2344444444462718E-2</v>
      </c>
      <c r="CY13" s="142">
        <f t="shared" si="59"/>
        <v>1.2344444444462718E-2</v>
      </c>
      <c r="CZ13" s="142">
        <f t="shared" si="59"/>
        <v>1.2344444444462718E-2</v>
      </c>
      <c r="DA13" s="142">
        <f t="shared" si="59"/>
        <v>1.2344444444462718E-2</v>
      </c>
      <c r="DB13" s="142">
        <f t="shared" si="59"/>
        <v>1.2344444444462718E-2</v>
      </c>
      <c r="DC13" s="142">
        <f t="shared" si="59"/>
        <v>1.2344444444462718E-2</v>
      </c>
      <c r="DD13" s="142">
        <f t="shared" si="59"/>
        <v>1.2344444444462718E-2</v>
      </c>
      <c r="DE13" s="142">
        <f t="shared" si="59"/>
        <v>1.2344444444462718E-2</v>
      </c>
      <c r="DF13" s="142">
        <f t="shared" si="59"/>
        <v>1.2344444444462718E-2</v>
      </c>
      <c r="DG13" s="142">
        <f t="shared" si="59"/>
        <v>1.2344444444462718E-2</v>
      </c>
      <c r="DH13" s="142">
        <f t="shared" si="59"/>
        <v>1.2344444444462718E-2</v>
      </c>
      <c r="DI13" s="142">
        <f t="shared" si="59"/>
        <v>1.2344444444462718E-2</v>
      </c>
      <c r="DJ13" s="142">
        <f t="shared" si="59"/>
        <v>1.2344444444462718E-2</v>
      </c>
      <c r="DK13" s="142">
        <f t="shared" si="59"/>
        <v>1.2344444444462718E-2</v>
      </c>
      <c r="DL13" s="142">
        <f t="shared" si="59"/>
        <v>1.2344444444462718E-2</v>
      </c>
      <c r="DM13" s="142">
        <f t="shared" si="59"/>
        <v>1.2344444444462718E-2</v>
      </c>
      <c r="DN13" s="142">
        <f t="shared" si="59"/>
        <v>1.2344444444462718E-2</v>
      </c>
      <c r="DO13" s="142">
        <f t="shared" si="59"/>
        <v>1.2344444444462718E-2</v>
      </c>
      <c r="DP13" s="142">
        <f t="shared" si="59"/>
        <v>1.2344444444462718E-2</v>
      </c>
      <c r="DQ13" s="142">
        <f t="shared" si="59"/>
        <v>1.2344444444462718E-2</v>
      </c>
      <c r="DR13" s="142">
        <f t="shared" si="59"/>
        <v>1.2344444444462718E-2</v>
      </c>
      <c r="DS13" s="142">
        <f t="shared" si="59"/>
        <v>1.2344444444462718E-2</v>
      </c>
      <c r="DT13" s="142">
        <f t="shared" si="59"/>
        <v>1.2344444444462718E-2</v>
      </c>
      <c r="DU13" s="142">
        <f t="shared" si="59"/>
        <v>1.2344444444462718E-2</v>
      </c>
      <c r="DV13" s="142">
        <f t="shared" si="59"/>
        <v>1.2344444444462718E-2</v>
      </c>
      <c r="DW13" s="48">
        <f t="shared" ref="DW13:ET13" si="64">IF(DW$9&lt;=$K$6,RATE($K$6,1,DW40,0),"")</f>
        <v>1.2344444444462718E-2</v>
      </c>
      <c r="DX13" s="48">
        <f t="shared" si="64"/>
        <v>1.2344444444462718E-2</v>
      </c>
      <c r="DY13" s="48">
        <f t="shared" si="64"/>
        <v>1.2344444444462718E-2</v>
      </c>
      <c r="DZ13" s="48">
        <f t="shared" si="64"/>
        <v>1.2344444444462718E-2</v>
      </c>
      <c r="EA13" s="48">
        <f t="shared" si="64"/>
        <v>1.2344444444462718E-2</v>
      </c>
      <c r="EB13" s="48">
        <f t="shared" si="64"/>
        <v>1.2344444444462718E-2</v>
      </c>
      <c r="EC13" s="48">
        <f t="shared" si="64"/>
        <v>1.2344444444462718E-2</v>
      </c>
      <c r="ED13" s="48">
        <f t="shared" si="64"/>
        <v>1.2344444444462718E-2</v>
      </c>
      <c r="EE13" s="48">
        <f t="shared" si="64"/>
        <v>1.2344444444462718E-2</v>
      </c>
      <c r="EF13" s="48">
        <f t="shared" si="64"/>
        <v>1.2344444444462718E-2</v>
      </c>
      <c r="EG13" s="48">
        <f t="shared" si="64"/>
        <v>1.2344444444462718E-2</v>
      </c>
      <c r="EH13" s="48">
        <f t="shared" si="64"/>
        <v>1.2344444444462718E-2</v>
      </c>
      <c r="EI13" s="48">
        <f t="shared" si="64"/>
        <v>1.2344444444462718E-2</v>
      </c>
      <c r="EJ13" s="48">
        <f t="shared" si="64"/>
        <v>1.2344444444462718E-2</v>
      </c>
      <c r="EK13" s="48">
        <f t="shared" si="64"/>
        <v>1.2344444444462718E-2</v>
      </c>
      <c r="EL13" s="48">
        <f t="shared" si="64"/>
        <v>1.2344444444462718E-2</v>
      </c>
      <c r="EM13" s="48">
        <f t="shared" si="64"/>
        <v>1.2344444444462718E-2</v>
      </c>
      <c r="EN13" s="48">
        <f t="shared" si="64"/>
        <v>1.2344444444462718E-2</v>
      </c>
      <c r="EO13" s="48">
        <f t="shared" si="64"/>
        <v>1.2344444444462718E-2</v>
      </c>
      <c r="EP13" s="48">
        <f t="shared" si="64"/>
        <v>1.2344444444462718E-2</v>
      </c>
      <c r="EQ13" s="48">
        <f t="shared" si="64"/>
        <v>1.2344444444462718E-2</v>
      </c>
      <c r="ER13" s="48">
        <f t="shared" si="64"/>
        <v>1.2344444444462718E-2</v>
      </c>
      <c r="ES13" s="48">
        <f t="shared" si="64"/>
        <v>1.2344444444462718E-2</v>
      </c>
      <c r="ET13" s="48">
        <f t="shared" si="64"/>
        <v>1.2344444444462718E-2</v>
      </c>
      <c r="EY13" t="s">
        <v>135</v>
      </c>
      <c r="FA13" s="47">
        <v>1.6299999999999999E-2</v>
      </c>
      <c r="FB13">
        <v>72</v>
      </c>
      <c r="FC13" s="47">
        <v>1.95E-2</v>
      </c>
      <c r="FF13" s="130" t="s">
        <v>132</v>
      </c>
      <c r="FG13" s="12">
        <v>2.4E-2</v>
      </c>
      <c r="FH13" s="12">
        <v>120</v>
      </c>
      <c r="FI13" s="12">
        <v>1.7899999999999999E-2</v>
      </c>
      <c r="FJ13" s="82">
        <v>1.6399999999999998E-2</v>
      </c>
      <c r="FK13" s="134">
        <f t="shared" si="62"/>
        <v>4.2222222222222238E-4</v>
      </c>
      <c r="FL13">
        <f>VLOOKUP(FF13,'SIMULADOR COM SALDO'!$BF$22:$BS$268,13,FALSE)</f>
        <v>2.4E-2</v>
      </c>
    </row>
    <row r="14" spans="5:168" ht="18" customHeight="1" x14ac:dyDescent="0.25">
      <c r="E14" s="141"/>
      <c r="F14" s="121">
        <f t="shared" si="63"/>
        <v>1.2766666666666664E-2</v>
      </c>
      <c r="G14" s="52">
        <f t="shared" si="58"/>
        <v>1.9095284208834589E-2</v>
      </c>
      <c r="H14" s="52">
        <f t="shared" si="58"/>
        <v>1.9086003589563968E-2</v>
      </c>
      <c r="I14" s="52">
        <f t="shared" si="58"/>
        <v>1.9072308406592409E-2</v>
      </c>
      <c r="J14" s="52">
        <f t="shared" si="58"/>
        <v>1.9054347982251908E-2</v>
      </c>
      <c r="K14" s="52">
        <f t="shared" si="58"/>
        <v>1.9032270472061769E-2</v>
      </c>
      <c r="L14" s="52">
        <f t="shared" si="58"/>
        <v>1.9006222654744144E-2</v>
      </c>
      <c r="M14" s="52">
        <f t="shared" si="58"/>
        <v>1.897634973751006E-2</v>
      </c>
      <c r="N14" s="52">
        <f t="shared" si="58"/>
        <v>1.8942795176412487E-2</v>
      </c>
      <c r="O14" s="52">
        <f t="shared" si="58"/>
        <v>1.8905700511492412E-2</v>
      </c>
      <c r="P14" s="52">
        <f t="shared" si="58"/>
        <v>1.8865205216386884E-2</v>
      </c>
      <c r="Q14" s="52">
        <f t="shared" si="58"/>
        <v>1.8821446562019613E-2</v>
      </c>
      <c r="R14" s="52">
        <f t="shared" si="58"/>
        <v>1.8774559493940544E-2</v>
      </c>
      <c r="S14" s="52">
        <f t="shared" si="58"/>
        <v>1.8724676522856361E-2</v>
      </c>
      <c r="T14" s="52">
        <f t="shared" si="58"/>
        <v>1.8671927627849683E-2</v>
      </c>
      <c r="U14" s="52">
        <f t="shared" si="58"/>
        <v>1.8616440171769083E-2</v>
      </c>
      <c r="V14" s="52">
        <f t="shared" si="58"/>
        <v>1.8558338828247624E-2</v>
      </c>
      <c r="W14" s="52">
        <f t="shared" si="58"/>
        <v>1.8497745519794724E-2</v>
      </c>
      <c r="X14" s="52">
        <f t="shared" si="58"/>
        <v>1.8434779366397869E-2</v>
      </c>
      <c r="Y14" s="52">
        <f t="shared" si="58"/>
        <v>1.8369556644064956E-2</v>
      </c>
      <c r="Z14" s="52">
        <f t="shared" si="58"/>
        <v>1.8302190752736872E-2</v>
      </c>
      <c r="AA14" s="52">
        <f t="shared" si="58"/>
        <v>1.8232792193003947E-2</v>
      </c>
      <c r="AB14" s="52">
        <f t="shared" si="58"/>
        <v>1.816146855106468E-2</v>
      </c>
      <c r="AC14" s="52">
        <f t="shared" si="58"/>
        <v>1.8088324491376154E-2</v>
      </c>
      <c r="AD14" s="52">
        <f t="shared" si="58"/>
        <v>1.8013461756453412E-2</v>
      </c>
      <c r="AE14" s="52">
        <f t="shared" si="58"/>
        <v>1.793697917329214E-2</v>
      </c>
      <c r="AF14" s="52">
        <f t="shared" si="58"/>
        <v>1.7858972665902608E-2</v>
      </c>
      <c r="AG14" s="52">
        <f t="shared" si="58"/>
        <v>1.7779535273459084E-2</v>
      </c>
      <c r="AH14" s="52">
        <f t="shared" si="58"/>
        <v>1.769875717358807E-2</v>
      </c>
      <c r="AI14" s="52">
        <f t="shared" si="58"/>
        <v>1.7616725710336765E-2</v>
      </c>
      <c r="AJ14" s="52">
        <f t="shared" si="58"/>
        <v>1.7533525426383853E-2</v>
      </c>
      <c r="AK14" s="52">
        <f t="shared" si="58"/>
        <v>1.7449238099073193E-2</v>
      </c>
      <c r="AL14" s="52">
        <f t="shared" si="58"/>
        <v>1.7363942779873853E-2</v>
      </c>
      <c r="AM14" s="52">
        <f t="shared" si="58"/>
        <v>1.727771583688658E-2</v>
      </c>
      <c r="AN14" s="52">
        <f t="shared" si="58"/>
        <v>1.7190631000043387E-2</v>
      </c>
      <c r="AO14" s="52">
        <f t="shared" si="58"/>
        <v>1.7102759408660788E-2</v>
      </c>
      <c r="AP14" s="52">
        <f t="shared" si="58"/>
        <v>1.7014169661031277E-2</v>
      </c>
      <c r="AQ14" s="52">
        <f t="shared" si="58"/>
        <v>1.6924927865758083E-2</v>
      </c>
      <c r="AR14" s="52">
        <f t="shared" si="58"/>
        <v>1.6835097694553176E-2</v>
      </c>
      <c r="AS14" s="52">
        <f t="shared" si="58"/>
        <v>1.6744740436242894E-2</v>
      </c>
      <c r="AT14" s="52">
        <f t="shared" si="58"/>
        <v>1.665391505173933E-2</v>
      </c>
      <c r="AU14" s="52">
        <f t="shared" si="58"/>
        <v>1.6562678229754022E-2</v>
      </c>
      <c r="AV14" s="52">
        <f t="shared" si="58"/>
        <v>1.6471084443052012E-2</v>
      </c>
      <c r="AW14" s="52">
        <f t="shared" si="58"/>
        <v>1.6379186005050558E-2</v>
      </c>
      <c r="AX14" s="52">
        <f t="shared" si="58"/>
        <v>1.6287033126595539E-2</v>
      </c>
      <c r="AY14" s="52">
        <f t="shared" si="58"/>
        <v>1.6194673955322345E-2</v>
      </c>
      <c r="AZ14" s="52">
        <f t="shared" si="58"/>
        <v>1.6102154700244134E-2</v>
      </c>
      <c r="BA14" s="52">
        <f t="shared" si="58"/>
        <v>1.6009519588744123E-2</v>
      </c>
      <c r="BB14" s="52">
        <f t="shared" si="58"/>
        <v>1.5916810987297136E-2</v>
      </c>
      <c r="BC14" s="52">
        <f t="shared" si="58"/>
        <v>1.5824069441182094E-2</v>
      </c>
      <c r="BD14" s="52">
        <f t="shared" si="58"/>
        <v>1.5731333729416704E-2</v>
      </c>
      <c r="BE14" s="52">
        <f t="shared" si="58"/>
        <v>1.5638640919020848E-2</v>
      </c>
      <c r="BF14" s="52">
        <f t="shared" si="58"/>
        <v>1.5546026418528112E-2</v>
      </c>
      <c r="BG14" s="52">
        <f t="shared" si="58"/>
        <v>1.5453524030680418E-2</v>
      </c>
      <c r="BH14" s="52">
        <f t="shared" si="58"/>
        <v>1.5361166004248592E-2</v>
      </c>
      <c r="BI14" s="52">
        <f t="shared" si="58"/>
        <v>1.5268983084923931E-2</v>
      </c>
      <c r="BJ14" s="52">
        <f t="shared" si="58"/>
        <v>1.5177004565240699E-2</v>
      </c>
      <c r="BK14" s="52">
        <f t="shared" si="58"/>
        <v>1.508525833348868E-2</v>
      </c>
      <c r="BL14" s="52">
        <f t="shared" si="58"/>
        <v>1.4993770921591838E-2</v>
      </c>
      <c r="BM14" s="52">
        <f t="shared" si="58"/>
        <v>1.4902567551919012E-2</v>
      </c>
      <c r="BN14" s="52">
        <f t="shared" si="58"/>
        <v>1.4811672183016208E-2</v>
      </c>
      <c r="BO14" s="52">
        <f t="shared" si="58"/>
        <v>1.4721107554237991E-2</v>
      </c>
      <c r="BP14" s="52">
        <f t="shared" si="58"/>
        <v>1.4630895229274183E-2</v>
      </c>
      <c r="BQ14" s="52">
        <f t="shared" si="58"/>
        <v>1.4541055638561279E-2</v>
      </c>
      <c r="BR14" s="52">
        <f t="shared" ref="BR14" si="65">IF(BR$9&lt;=$K$6,RATE($K$6,1,BR41,0),"")</f>
        <v>1.4451608120575384E-2</v>
      </c>
      <c r="BS14" s="52">
        <f t="shared" si="59"/>
        <v>1.4362570962012511E-2</v>
      </c>
      <c r="BT14" s="52">
        <f t="shared" si="59"/>
        <v>1.4273961436854004E-2</v>
      </c>
      <c r="BU14" s="52">
        <f t="shared" si="59"/>
        <v>1.4185795844326374E-2</v>
      </c>
      <c r="BV14" s="52">
        <f t="shared" si="59"/>
        <v>1.4098089545765524E-2</v>
      </c>
      <c r="BW14" s="52">
        <f t="shared" si="59"/>
        <v>1.4010857000390786E-2</v>
      </c>
      <c r="BX14" s="52">
        <f t="shared" si="59"/>
        <v>1.3924111800009973E-2</v>
      </c>
      <c r="BY14" s="52">
        <f t="shared" si="59"/>
        <v>1.3837866702661447E-2</v>
      </c>
      <c r="BZ14" s="52">
        <f t="shared" si="59"/>
        <v>1.3752133665214739E-2</v>
      </c>
      <c r="CA14" s="52">
        <f t="shared" si="59"/>
        <v>1.3666923874945168E-2</v>
      </c>
      <c r="CB14" s="52">
        <f t="shared" si="59"/>
        <v>1.3582247780099414E-2</v>
      </c>
      <c r="CC14" s="52">
        <f t="shared" si="59"/>
        <v>1.3498115119473133E-2</v>
      </c>
      <c r="CD14" s="52">
        <f t="shared" si="59"/>
        <v>1.3414534951020678E-2</v>
      </c>
      <c r="CE14" s="52">
        <f t="shared" si="59"/>
        <v>1.3331515679515337E-2</v>
      </c>
      <c r="CF14" s="52">
        <f t="shared" si="59"/>
        <v>1.3249065083283712E-2</v>
      </c>
      <c r="CG14" s="52">
        <f t="shared" si="59"/>
        <v>1.3167190340034838E-2</v>
      </c>
      <c r="CH14" s="52">
        <f t="shared" si="59"/>
        <v>1.3085898051805706E-2</v>
      </c>
      <c r="CI14" s="52">
        <f t="shared" si="59"/>
        <v>1.3005194269044746E-2</v>
      </c>
      <c r="CJ14" s="52">
        <f t="shared" si="59"/>
        <v>1.2925084513856893E-2</v>
      </c>
      <c r="CK14" s="52">
        <f t="shared" si="59"/>
        <v>1.2845573802431742E-2</v>
      </c>
      <c r="CL14" s="52">
        <f t="shared" si="59"/>
        <v>1.276666666667685E-2</v>
      </c>
      <c r="CM14" s="52">
        <f t="shared" si="59"/>
        <v>1.276666666667685E-2</v>
      </c>
      <c r="CN14" s="52">
        <f t="shared" si="59"/>
        <v>1.276666666667685E-2</v>
      </c>
      <c r="CO14" s="52">
        <f t="shared" si="59"/>
        <v>1.276666666667685E-2</v>
      </c>
      <c r="CP14" s="52">
        <f t="shared" si="59"/>
        <v>1.276666666667685E-2</v>
      </c>
      <c r="CQ14" s="52">
        <f t="shared" si="59"/>
        <v>1.276666666667685E-2</v>
      </c>
      <c r="CR14" s="52">
        <f t="shared" si="59"/>
        <v>1.276666666667685E-2</v>
      </c>
      <c r="CS14" s="52">
        <f t="shared" si="59"/>
        <v>1.276666666667685E-2</v>
      </c>
      <c r="CT14" s="52">
        <f t="shared" si="59"/>
        <v>1.276666666667685E-2</v>
      </c>
      <c r="CU14" s="52">
        <f t="shared" si="59"/>
        <v>1.276666666667685E-2</v>
      </c>
      <c r="CV14" s="52">
        <f t="shared" si="59"/>
        <v>1.276666666667685E-2</v>
      </c>
      <c r="CW14" s="52">
        <f t="shared" si="59"/>
        <v>1.276666666667685E-2</v>
      </c>
      <c r="CX14" s="52">
        <f t="shared" si="59"/>
        <v>1.276666666667685E-2</v>
      </c>
      <c r="CY14" s="142">
        <f t="shared" si="59"/>
        <v>1.276666666667685E-2</v>
      </c>
      <c r="CZ14" s="142">
        <f t="shared" si="59"/>
        <v>1.276666666667685E-2</v>
      </c>
      <c r="DA14" s="142">
        <f t="shared" si="59"/>
        <v>1.276666666667685E-2</v>
      </c>
      <c r="DB14" s="142">
        <f t="shared" si="59"/>
        <v>1.276666666667685E-2</v>
      </c>
      <c r="DC14" s="142">
        <f t="shared" si="59"/>
        <v>1.276666666667685E-2</v>
      </c>
      <c r="DD14" s="142">
        <f t="shared" si="59"/>
        <v>1.276666666667685E-2</v>
      </c>
      <c r="DE14" s="142">
        <f t="shared" si="59"/>
        <v>1.276666666667685E-2</v>
      </c>
      <c r="DF14" s="142">
        <f t="shared" si="59"/>
        <v>1.276666666667685E-2</v>
      </c>
      <c r="DG14" s="142">
        <f t="shared" si="59"/>
        <v>1.276666666667685E-2</v>
      </c>
      <c r="DH14" s="142">
        <f t="shared" si="59"/>
        <v>1.276666666667685E-2</v>
      </c>
      <c r="DI14" s="142">
        <f t="shared" si="59"/>
        <v>1.276666666667685E-2</v>
      </c>
      <c r="DJ14" s="142">
        <f t="shared" si="59"/>
        <v>1.276666666667685E-2</v>
      </c>
      <c r="DK14" s="142">
        <f t="shared" si="59"/>
        <v>1.276666666667685E-2</v>
      </c>
      <c r="DL14" s="142">
        <f t="shared" si="59"/>
        <v>1.276666666667685E-2</v>
      </c>
      <c r="DM14" s="142">
        <f t="shared" si="59"/>
        <v>1.276666666667685E-2</v>
      </c>
      <c r="DN14" s="142">
        <f t="shared" si="59"/>
        <v>1.276666666667685E-2</v>
      </c>
      <c r="DO14" s="142">
        <f t="shared" si="59"/>
        <v>1.276666666667685E-2</v>
      </c>
      <c r="DP14" s="142">
        <f t="shared" si="59"/>
        <v>1.276666666667685E-2</v>
      </c>
      <c r="DQ14" s="142">
        <f t="shared" si="59"/>
        <v>1.276666666667685E-2</v>
      </c>
      <c r="DR14" s="142">
        <f t="shared" si="59"/>
        <v>1.276666666667685E-2</v>
      </c>
      <c r="DS14" s="142">
        <f t="shared" si="59"/>
        <v>1.276666666667685E-2</v>
      </c>
      <c r="DT14" s="142">
        <f t="shared" si="59"/>
        <v>1.276666666667685E-2</v>
      </c>
      <c r="DU14" s="142">
        <f t="shared" si="59"/>
        <v>1.276666666667685E-2</v>
      </c>
      <c r="DV14" s="142">
        <f t="shared" si="59"/>
        <v>1.276666666667685E-2</v>
      </c>
      <c r="DW14" s="48">
        <f t="shared" ref="DW14:ET24" si="66">IF(DW$9&lt;=$K$6,RATE($K$6,1,DW41,0),"")</f>
        <v>1.276666666667685E-2</v>
      </c>
      <c r="DX14" s="48">
        <f t="shared" si="66"/>
        <v>1.276666666667685E-2</v>
      </c>
      <c r="DY14" s="48">
        <f t="shared" si="66"/>
        <v>1.276666666667685E-2</v>
      </c>
      <c r="DZ14" s="48">
        <f t="shared" si="66"/>
        <v>1.276666666667685E-2</v>
      </c>
      <c r="EA14" s="48">
        <f t="shared" si="66"/>
        <v>1.276666666667685E-2</v>
      </c>
      <c r="EB14" s="48">
        <f t="shared" si="66"/>
        <v>1.276666666667685E-2</v>
      </c>
      <c r="EC14" s="48">
        <f t="shared" si="66"/>
        <v>1.276666666667685E-2</v>
      </c>
      <c r="ED14" s="48">
        <f t="shared" si="66"/>
        <v>1.276666666667685E-2</v>
      </c>
      <c r="EE14" s="48">
        <f t="shared" si="66"/>
        <v>1.276666666667685E-2</v>
      </c>
      <c r="EF14" s="48">
        <f t="shared" si="66"/>
        <v>1.276666666667685E-2</v>
      </c>
      <c r="EG14" s="48">
        <f t="shared" si="66"/>
        <v>1.276666666667685E-2</v>
      </c>
      <c r="EH14" s="48">
        <f t="shared" si="66"/>
        <v>1.276666666667685E-2</v>
      </c>
      <c r="EI14" s="48">
        <f t="shared" si="66"/>
        <v>1.276666666667685E-2</v>
      </c>
      <c r="EJ14" s="48">
        <f t="shared" si="66"/>
        <v>1.276666666667685E-2</v>
      </c>
      <c r="EK14" s="48">
        <f t="shared" si="66"/>
        <v>1.276666666667685E-2</v>
      </c>
      <c r="EL14" s="48">
        <f t="shared" si="66"/>
        <v>1.276666666667685E-2</v>
      </c>
      <c r="EM14" s="48">
        <f t="shared" si="66"/>
        <v>1.276666666667685E-2</v>
      </c>
      <c r="EN14" s="48">
        <f t="shared" si="66"/>
        <v>1.276666666667685E-2</v>
      </c>
      <c r="EO14" s="48">
        <f t="shared" si="66"/>
        <v>1.276666666667685E-2</v>
      </c>
      <c r="EP14" s="48">
        <f t="shared" si="66"/>
        <v>1.276666666667685E-2</v>
      </c>
      <c r="EQ14" s="48">
        <f t="shared" si="66"/>
        <v>1.276666666667685E-2</v>
      </c>
      <c r="ER14" s="48">
        <f t="shared" si="66"/>
        <v>1.276666666667685E-2</v>
      </c>
      <c r="ES14" s="48">
        <f t="shared" si="66"/>
        <v>1.276666666667685E-2</v>
      </c>
      <c r="ET14" s="48">
        <f t="shared" si="66"/>
        <v>1.276666666667685E-2</v>
      </c>
      <c r="EY14" t="s">
        <v>169</v>
      </c>
      <c r="FA14" s="8">
        <v>1.6500000000000001E-2</v>
      </c>
      <c r="FB14">
        <v>84</v>
      </c>
      <c r="FC14" s="47">
        <v>1.9699999999999999E-2</v>
      </c>
      <c r="FF14" s="130" t="s">
        <v>260</v>
      </c>
      <c r="FG14" s="12">
        <v>2.4E-2</v>
      </c>
      <c r="FH14" s="12">
        <v>96</v>
      </c>
      <c r="FI14" s="12">
        <v>2.0400000000000001E-2</v>
      </c>
      <c r="FJ14" s="82">
        <v>1.55E-2</v>
      </c>
      <c r="FK14" s="134">
        <f t="shared" si="62"/>
        <v>4.7222222222222224E-4</v>
      </c>
      <c r="FL14">
        <f>VLOOKUP(FF14,'SIMULADOR COM SALDO'!$BF$22:$BS$268,13,FALSE)</f>
        <v>2.4E-2</v>
      </c>
    </row>
    <row r="15" spans="5:168" ht="18" customHeight="1" x14ac:dyDescent="0.25">
      <c r="E15" s="141"/>
      <c r="F15" s="121">
        <f t="shared" si="63"/>
        <v>1.3188888888888885E-2</v>
      </c>
      <c r="G15" s="52">
        <f t="shared" ref="G15:BR18" si="67">IF(G$9&lt;=$K$6,RATE($K$6,1,G42,0),"")</f>
        <v>1.909560039556996E-2</v>
      </c>
      <c r="H15" s="52">
        <f t="shared" si="67"/>
        <v>1.9086943641171469E-2</v>
      </c>
      <c r="I15" s="52">
        <f t="shared" si="67"/>
        <v>1.9074171278942776E-2</v>
      </c>
      <c r="J15" s="52">
        <f t="shared" si="67"/>
        <v>1.9057423731092357E-2</v>
      </c>
      <c r="K15" s="52">
        <f t="shared" si="67"/>
        <v>1.9036840109479824E-2</v>
      </c>
      <c r="L15" s="52">
        <f t="shared" si="67"/>
        <v>1.901255803838223E-2</v>
      </c>
      <c r="M15" s="52">
        <f t="shared" si="67"/>
        <v>1.8984713490895175E-2</v>
      </c>
      <c r="N15" s="52">
        <f t="shared" si="67"/>
        <v>1.8953440638717171E-2</v>
      </c>
      <c r="O15" s="52">
        <f t="shared" si="67"/>
        <v>1.8918871715011148E-2</v>
      </c>
      <c r="P15" s="52">
        <f t="shared" si="67"/>
        <v>1.8881136889996864E-2</v>
      </c>
      <c r="Q15" s="52">
        <f t="shared" si="67"/>
        <v>1.8840364158887245E-2</v>
      </c>
      <c r="R15" s="52">
        <f t="shared" si="67"/>
        <v>1.8796679241745953E-2</v>
      </c>
      <c r="S15" s="52">
        <f t="shared" si="67"/>
        <v>1.8750205494827497E-2</v>
      </c>
      <c r="T15" s="52">
        <f t="shared" si="67"/>
        <v>1.8701063832923335E-2</v>
      </c>
      <c r="U15" s="52">
        <f t="shared" si="67"/>
        <v>1.8649372662236818E-2</v>
      </c>
      <c r="V15" s="52">
        <f t="shared" si="67"/>
        <v>1.859524782328768E-2</v>
      </c>
      <c r="W15" s="52">
        <f t="shared" si="67"/>
        <v>1.8538802543340008E-2</v>
      </c>
      <c r="X15" s="52">
        <f t="shared" si="67"/>
        <v>1.8480147397849388E-2</v>
      </c>
      <c r="Y15" s="52">
        <f t="shared" si="67"/>
        <v>1.8419390280417079E-2</v>
      </c>
      <c r="Z15" s="52">
        <f t="shared" si="67"/>
        <v>1.8356636380744935E-2</v>
      </c>
      <c r="AA15" s="52">
        <f t="shared" si="67"/>
        <v>1.8291988170092418E-2</v>
      </c>
      <c r="AB15" s="52">
        <f t="shared" si="67"/>
        <v>1.8225545393738669E-2</v>
      </c>
      <c r="AC15" s="52">
        <f t="shared" si="67"/>
        <v>1.8157405069969976E-2</v>
      </c>
      <c r="AD15" s="52">
        <f t="shared" si="67"/>
        <v>1.8087661495118406E-2</v>
      </c>
      <c r="AE15" s="52">
        <f t="shared" si="67"/>
        <v>1.8016406254192784E-2</v>
      </c>
      <c r="AF15" s="52">
        <f t="shared" si="67"/>
        <v>1.79437282366618E-2</v>
      </c>
      <c r="AG15" s="52">
        <f t="shared" si="67"/>
        <v>1.7869713656957754E-2</v>
      </c>
      <c r="AH15" s="52">
        <f t="shared" si="67"/>
        <v>1.7794446079290479E-2</v>
      </c>
      <c r="AI15" s="52">
        <f t="shared" si="67"/>
        <v>1.7718006446378796E-2</v>
      </c>
      <c r="AJ15" s="52">
        <f t="shared" si="67"/>
        <v>1.7640473111720564E-2</v>
      </c>
      <c r="AK15" s="52">
        <f t="shared" si="67"/>
        <v>1.7561921875044524E-2</v>
      </c>
      <c r="AL15" s="52">
        <f t="shared" si="67"/>
        <v>1.7482426020602515E-2</v>
      </c>
      <c r="AM15" s="52">
        <f t="shared" si="67"/>
        <v>1.7402056357980741E-2</v>
      </c>
      <c r="AN15" s="52">
        <f t="shared" si="67"/>
        <v>1.7320881265122944E-2</v>
      </c>
      <c r="AO15" s="52">
        <f t="shared" si="67"/>
        <v>1.7238966733283522E-2</v>
      </c>
      <c r="AP15" s="52">
        <f t="shared" si="67"/>
        <v>1.7156376413635474E-2</v>
      </c>
      <c r="AQ15" s="52">
        <f t="shared" si="67"/>
        <v>1.7073171665285939E-2</v>
      </c>
      <c r="AR15" s="52">
        <f t="shared" si="67"/>
        <v>1.6989411604461855E-2</v>
      </c>
      <c r="AS15" s="52">
        <f t="shared" si="67"/>
        <v>1.6905153154646437E-2</v>
      </c>
      <c r="AT15" s="52">
        <f t="shared" si="67"/>
        <v>1.6820451097461463E-2</v>
      </c>
      <c r="AU15" s="52">
        <f t="shared" si="67"/>
        <v>1.673535812410969E-2</v>
      </c>
      <c r="AV15" s="52">
        <f t="shared" si="67"/>
        <v>1.664992488720075E-2</v>
      </c>
      <c r="AW15" s="52">
        <f t="shared" si="67"/>
        <v>1.6564200052800151E-2</v>
      </c>
      <c r="AX15" s="52">
        <f t="shared" si="67"/>
        <v>1.6478230352554506E-2</v>
      </c>
      <c r="AY15" s="52">
        <f t="shared" si="67"/>
        <v>1.6392060635759195E-2</v>
      </c>
      <c r="AZ15" s="52">
        <f t="shared" si="67"/>
        <v>1.6305733921243275E-2</v>
      </c>
      <c r="BA15" s="52">
        <f t="shared" si="67"/>
        <v>1.6219291448961934E-2</v>
      </c>
      <c r="BB15" s="52">
        <f t="shared" si="67"/>
        <v>1.6132772712599091E-2</v>
      </c>
      <c r="BC15" s="52">
        <f t="shared" si="67"/>
        <v>1.6046215582904963E-2</v>
      </c>
      <c r="BD15" s="52">
        <f t="shared" si="67"/>
        <v>1.5959656251391865E-2</v>
      </c>
      <c r="BE15" s="52">
        <f t="shared" si="67"/>
        <v>1.5873129349247402E-2</v>
      </c>
      <c r="BF15" s="52">
        <f t="shared" si="67"/>
        <v>1.5786667979156743E-2</v>
      </c>
      <c r="BG15" s="52">
        <f t="shared" si="67"/>
        <v>1.5700303763349605E-2</v>
      </c>
      <c r="BH15" s="52">
        <f t="shared" si="67"/>
        <v>1.5614066890835214E-2</v>
      </c>
      <c r="BI15" s="52">
        <f t="shared" si="67"/>
        <v>1.5527986163785933E-2</v>
      </c>
      <c r="BJ15" s="52">
        <f t="shared" si="67"/>
        <v>1.5442089043033241E-2</v>
      </c>
      <c r="BK15" s="52">
        <f t="shared" si="67"/>
        <v>1.5356401692643618E-2</v>
      </c>
      <c r="BL15" s="52">
        <f t="shared" si="67"/>
        <v>1.5270949023549583E-2</v>
      </c>
      <c r="BM15" s="52">
        <f t="shared" si="67"/>
        <v>1.5185754736216214E-2</v>
      </c>
      <c r="BN15" s="52">
        <f t="shared" si="67"/>
        <v>1.5100841362326197E-2</v>
      </c>
      <c r="BO15" s="52">
        <f t="shared" si="67"/>
        <v>1.5016230305471499E-2</v>
      </c>
      <c r="BP15" s="52">
        <f t="shared" si="67"/>
        <v>1.4931941880843408E-2</v>
      </c>
      <c r="BQ15" s="52">
        <f t="shared" si="67"/>
        <v>1.484799535391735E-2</v>
      </c>
      <c r="BR15" s="52">
        <f t="shared" si="67"/>
        <v>1.4764408978130032E-2</v>
      </c>
      <c r="BS15" s="52">
        <f t="shared" si="59"/>
        <v>1.4681200031547291E-2</v>
      </c>
      <c r="BT15" s="52">
        <f t="shared" si="59"/>
        <v>1.4598384852534636E-2</v>
      </c>
      <c r="BU15" s="52">
        <f t="shared" si="59"/>
        <v>1.4515978874425347E-2</v>
      </c>
      <c r="BV15" s="52">
        <f t="shared" si="59"/>
        <v>1.4433996659203986E-2</v>
      </c>
      <c r="BW15" s="52">
        <f t="shared" si="59"/>
        <v>1.435245193020937E-2</v>
      </c>
      <c r="BX15" s="52">
        <f t="shared" si="59"/>
        <v>1.4271357603870731E-2</v>
      </c>
      <c r="BY15" s="52">
        <f t="shared" si="59"/>
        <v>1.419072582049038E-2</v>
      </c>
      <c r="BZ15" s="52">
        <f t="shared" si="59"/>
        <v>1.4110567974086033E-2</v>
      </c>
      <c r="CA15" s="52">
        <f t="shared" si="59"/>
        <v>1.4030894741308782E-2</v>
      </c>
      <c r="CB15" s="52">
        <f t="shared" si="59"/>
        <v>1.3951716109452802E-2</v>
      </c>
      <c r="CC15" s="52">
        <f t="shared" si="59"/>
        <v>1.3873041403573674E-2</v>
      </c>
      <c r="CD15" s="52">
        <f t="shared" si="59"/>
        <v>1.3794879312733975E-2</v>
      </c>
      <c r="CE15" s="52">
        <f t="shared" si="59"/>
        <v>1.3717237915393695E-2</v>
      </c>
      <c r="CF15" s="52">
        <f t="shared" si="59"/>
        <v>1.3640124703964021E-2</v>
      </c>
      <c r="CG15" s="52">
        <f t="shared" si="59"/>
        <v>1.356354660854423E-2</v>
      </c>
      <c r="CH15" s="52">
        <f t="shared" si="59"/>
        <v>1.3487510019860378E-2</v>
      </c>
      <c r="CI15" s="52">
        <f t="shared" si="59"/>
        <v>1.3412020811426711E-2</v>
      </c>
      <c r="CJ15" s="52">
        <f t="shared" si="59"/>
        <v>1.333708436094878E-2</v>
      </c>
      <c r="CK15" s="52">
        <f t="shared" si="59"/>
        <v>1.3262705570985023E-2</v>
      </c>
      <c r="CL15" s="52">
        <f t="shared" si="59"/>
        <v>1.3188888888894393E-2</v>
      </c>
      <c r="CM15" s="52">
        <f t="shared" si="59"/>
        <v>1.3188888888894393E-2</v>
      </c>
      <c r="CN15" s="52">
        <f t="shared" si="59"/>
        <v>1.3188888888894393E-2</v>
      </c>
      <c r="CO15" s="52">
        <f t="shared" si="59"/>
        <v>1.3188888888894393E-2</v>
      </c>
      <c r="CP15" s="52">
        <f t="shared" si="59"/>
        <v>1.3188888888894393E-2</v>
      </c>
      <c r="CQ15" s="52">
        <f t="shared" si="59"/>
        <v>1.3188888888894393E-2</v>
      </c>
      <c r="CR15" s="52">
        <f t="shared" si="59"/>
        <v>1.3188888888894393E-2</v>
      </c>
      <c r="CS15" s="52">
        <f t="shared" si="59"/>
        <v>1.3188888888894393E-2</v>
      </c>
      <c r="CT15" s="52">
        <f t="shared" si="59"/>
        <v>1.3188888888894393E-2</v>
      </c>
      <c r="CU15" s="52">
        <f t="shared" si="59"/>
        <v>1.3188888888894393E-2</v>
      </c>
      <c r="CV15" s="52">
        <f t="shared" si="59"/>
        <v>1.3188888888894393E-2</v>
      </c>
      <c r="CW15" s="52">
        <f t="shared" si="59"/>
        <v>1.3188888888894393E-2</v>
      </c>
      <c r="CX15" s="52">
        <f t="shared" ref="CX15:DV25" si="68">IF(CX$9&lt;=$K$6,RATE($K$6,1,CX42,0),"")</f>
        <v>1.3188888888894393E-2</v>
      </c>
      <c r="CY15" s="142">
        <f t="shared" si="68"/>
        <v>1.3188888888894393E-2</v>
      </c>
      <c r="CZ15" s="142">
        <f t="shared" si="68"/>
        <v>1.3188888888894393E-2</v>
      </c>
      <c r="DA15" s="142">
        <f t="shared" si="68"/>
        <v>1.3188888888894393E-2</v>
      </c>
      <c r="DB15" s="142">
        <f t="shared" si="68"/>
        <v>1.3188888888894393E-2</v>
      </c>
      <c r="DC15" s="142">
        <f t="shared" si="68"/>
        <v>1.3188888888894393E-2</v>
      </c>
      <c r="DD15" s="142">
        <f t="shared" si="68"/>
        <v>1.3188888888894393E-2</v>
      </c>
      <c r="DE15" s="142">
        <f t="shared" si="68"/>
        <v>1.3188888888894393E-2</v>
      </c>
      <c r="DF15" s="142">
        <f t="shared" si="68"/>
        <v>1.3188888888894393E-2</v>
      </c>
      <c r="DG15" s="142">
        <f t="shared" si="68"/>
        <v>1.3188888888894393E-2</v>
      </c>
      <c r="DH15" s="142">
        <f t="shared" si="68"/>
        <v>1.3188888888894393E-2</v>
      </c>
      <c r="DI15" s="142">
        <f t="shared" si="68"/>
        <v>1.3188888888894393E-2</v>
      </c>
      <c r="DJ15" s="142">
        <f t="shared" si="68"/>
        <v>1.3188888888894393E-2</v>
      </c>
      <c r="DK15" s="142">
        <f t="shared" si="68"/>
        <v>1.3188888888894393E-2</v>
      </c>
      <c r="DL15" s="142">
        <f t="shared" si="68"/>
        <v>1.3188888888894393E-2</v>
      </c>
      <c r="DM15" s="142">
        <f t="shared" si="68"/>
        <v>1.3188888888894393E-2</v>
      </c>
      <c r="DN15" s="142">
        <f t="shared" si="68"/>
        <v>1.3188888888894393E-2</v>
      </c>
      <c r="DO15" s="142">
        <f t="shared" si="68"/>
        <v>1.3188888888894393E-2</v>
      </c>
      <c r="DP15" s="142">
        <f t="shared" si="68"/>
        <v>1.3188888888894393E-2</v>
      </c>
      <c r="DQ15" s="142">
        <f t="shared" si="68"/>
        <v>1.3188888888894393E-2</v>
      </c>
      <c r="DR15" s="142">
        <f t="shared" si="68"/>
        <v>1.3188888888894393E-2</v>
      </c>
      <c r="DS15" s="142">
        <f t="shared" si="68"/>
        <v>1.3188888888894393E-2</v>
      </c>
      <c r="DT15" s="142">
        <f t="shared" si="68"/>
        <v>1.3188888888894393E-2</v>
      </c>
      <c r="DU15" s="142">
        <f t="shared" si="68"/>
        <v>1.3188888888894393E-2</v>
      </c>
      <c r="DV15" s="142">
        <f t="shared" si="68"/>
        <v>1.3188888888894393E-2</v>
      </c>
      <c r="DW15" s="48">
        <f t="shared" si="66"/>
        <v>1.3188888888894393E-2</v>
      </c>
      <c r="DX15" s="48">
        <f t="shared" si="66"/>
        <v>1.3188888888894393E-2</v>
      </c>
      <c r="DY15" s="48">
        <f t="shared" si="66"/>
        <v>1.3188888888894393E-2</v>
      </c>
      <c r="DZ15" s="48">
        <f t="shared" si="66"/>
        <v>1.3188888888894393E-2</v>
      </c>
      <c r="EA15" s="48">
        <f t="shared" si="66"/>
        <v>1.3188888888894393E-2</v>
      </c>
      <c r="EB15" s="48">
        <f t="shared" si="66"/>
        <v>1.3188888888894393E-2</v>
      </c>
      <c r="EC15" s="48">
        <f t="shared" si="66"/>
        <v>1.3188888888894393E-2</v>
      </c>
      <c r="ED15" s="48">
        <f t="shared" si="66"/>
        <v>1.3188888888894393E-2</v>
      </c>
      <c r="EE15" s="48">
        <f t="shared" si="66"/>
        <v>1.3188888888894393E-2</v>
      </c>
      <c r="EF15" s="48">
        <f t="shared" si="66"/>
        <v>1.3188888888894393E-2</v>
      </c>
      <c r="EG15" s="48">
        <f t="shared" si="66"/>
        <v>1.3188888888894393E-2</v>
      </c>
      <c r="EH15" s="48">
        <f t="shared" si="66"/>
        <v>1.3188888888894393E-2</v>
      </c>
      <c r="EI15" s="48">
        <f t="shared" si="66"/>
        <v>1.3188888888894393E-2</v>
      </c>
      <c r="EJ15" s="48">
        <f t="shared" si="66"/>
        <v>1.3188888888894393E-2</v>
      </c>
      <c r="EK15" s="48">
        <f t="shared" si="66"/>
        <v>1.3188888888894393E-2</v>
      </c>
      <c r="EL15" s="48">
        <f t="shared" si="66"/>
        <v>1.3188888888894393E-2</v>
      </c>
      <c r="EM15" s="48">
        <f t="shared" si="66"/>
        <v>1.3188888888894393E-2</v>
      </c>
      <c r="EN15" s="48">
        <f t="shared" si="66"/>
        <v>1.3188888888894393E-2</v>
      </c>
      <c r="EO15" s="48">
        <f t="shared" si="66"/>
        <v>1.3188888888894393E-2</v>
      </c>
      <c r="EP15" s="48">
        <f t="shared" si="66"/>
        <v>1.3188888888894393E-2</v>
      </c>
      <c r="EQ15" s="48">
        <f t="shared" si="66"/>
        <v>1.3188888888894393E-2</v>
      </c>
      <c r="ER15" s="48">
        <f t="shared" si="66"/>
        <v>1.3188888888894393E-2</v>
      </c>
      <c r="ES15" s="48">
        <f t="shared" si="66"/>
        <v>1.3188888888894393E-2</v>
      </c>
      <c r="ET15" s="48">
        <f t="shared" si="66"/>
        <v>1.3188888888894393E-2</v>
      </c>
      <c r="EY15" t="s">
        <v>36</v>
      </c>
      <c r="FA15" s="47">
        <v>1.8100000000000002E-2</v>
      </c>
      <c r="FB15">
        <v>96</v>
      </c>
      <c r="FC15" s="47">
        <v>2.0500000000000001E-2</v>
      </c>
      <c r="FF15" s="130" t="s">
        <v>135</v>
      </c>
      <c r="FG15" s="12">
        <v>0.02</v>
      </c>
      <c r="FH15" s="12">
        <v>72</v>
      </c>
      <c r="FI15" s="12">
        <v>1.6299999999999999E-2</v>
      </c>
      <c r="FJ15" s="82">
        <v>1.3000000000000001E-2</v>
      </c>
      <c r="FK15" s="134">
        <f t="shared" si="62"/>
        <v>3.8888888888888887E-4</v>
      </c>
      <c r="FL15">
        <f>VLOOKUP(FF15,'SIMULADOR COM SALDO'!$BF$22:$BS$268,13,FALSE)</f>
        <v>2.0500000000000001E-2</v>
      </c>
    </row>
    <row r="16" spans="5:168" ht="18" customHeight="1" x14ac:dyDescent="0.25">
      <c r="E16" s="141"/>
      <c r="F16" s="121">
        <f t="shared" si="63"/>
        <v>1.3611111111111107E-2</v>
      </c>
      <c r="G16" s="52">
        <f t="shared" si="67"/>
        <v>1.90959163237071E-2</v>
      </c>
      <c r="H16" s="52">
        <f t="shared" si="67"/>
        <v>1.9087882692429569E-2</v>
      </c>
      <c r="I16" s="52">
        <f t="shared" si="67"/>
        <v>1.9076031738227923E-2</v>
      </c>
      <c r="J16" s="52">
        <f t="shared" si="67"/>
        <v>1.9060494829686775E-2</v>
      </c>
      <c r="K16" s="52">
        <f t="shared" si="67"/>
        <v>1.9041401913363527E-2</v>
      </c>
      <c r="L16" s="52">
        <f t="shared" si="67"/>
        <v>1.9018881366850367E-2</v>
      </c>
      <c r="M16" s="52">
        <f t="shared" si="67"/>
        <v>1.8993059863856659E-2</v>
      </c>
      <c r="N16" s="52">
        <f t="shared" si="67"/>
        <v>1.8964062251028164E-2</v>
      </c>
      <c r="O16" s="52">
        <f t="shared" si="67"/>
        <v>1.8932011436186478E-2</v>
      </c>
      <c r="P16" s="52">
        <f t="shared" si="67"/>
        <v>1.8897028287633032E-2</v>
      </c>
      <c r="Q16" s="52">
        <f t="shared" si="67"/>
        <v>1.8859231544142076E-2</v>
      </c>
      <c r="R16" s="52">
        <f t="shared" si="67"/>
        <v>1.8818737735240454E-2</v>
      </c>
      <c r="S16" s="52">
        <f t="shared" si="67"/>
        <v>1.8775661111353606E-2</v>
      </c>
      <c r="T16" s="52">
        <f t="shared" si="67"/>
        <v>1.8730113583386537E-2</v>
      </c>
      <c r="U16" s="52">
        <f t="shared" si="67"/>
        <v>1.8682204671297421E-2</v>
      </c>
      <c r="V16" s="52">
        <f t="shared" si="67"/>
        <v>1.8632041461212414E-2</v>
      </c>
      <c r="W16" s="52">
        <f t="shared" si="67"/>
        <v>1.8579728570630932E-2</v>
      </c>
      <c r="X16" s="52">
        <f t="shared" si="67"/>
        <v>1.8525368121270539E-2</v>
      </c>
      <c r="Y16" s="52">
        <f t="shared" si="67"/>
        <v>1.8469059719098787E-2</v>
      </c>
      <c r="Z16" s="52">
        <f t="shared" si="67"/>
        <v>1.8410900441109629E-2</v>
      </c>
      <c r="AA16" s="52">
        <f t="shared" si="67"/>
        <v>1.8350984828404488E-2</v>
      </c>
      <c r="AB16" s="52">
        <f t="shared" si="67"/>
        <v>1.8289404885151728E-2</v>
      </c>
      <c r="AC16" s="52">
        <f t="shared" si="67"/>
        <v>1.8226250083003555E-2</v>
      </c>
      <c r="AD16" s="52">
        <f t="shared" si="67"/>
        <v>1.8161607370563233E-2</v>
      </c>
      <c r="AE16" s="52">
        <f t="shared" si="67"/>
        <v>1.8095561187511915E-2</v>
      </c>
      <c r="AF16" s="52">
        <f t="shared" si="67"/>
        <v>1.8028193483009644E-2</v>
      </c>
      <c r="AG16" s="52">
        <f t="shared" si="67"/>
        <v>1.7959583738009811E-2</v>
      </c>
      <c r="AH16" s="52">
        <f t="shared" si="67"/>
        <v>1.7889808991133137E-2</v>
      </c>
      <c r="AI16" s="52">
        <f t="shared" si="67"/>
        <v>1.7818943867766179E-2</v>
      </c>
      <c r="AJ16" s="52">
        <f t="shared" si="67"/>
        <v>1.7747060612065206E-2</v>
      </c>
      <c r="AK16" s="52">
        <f t="shared" si="67"/>
        <v>1.7674229121563266E-2</v>
      </c>
      <c r="AL16" s="52">
        <f t="shared" si="67"/>
        <v>1.7600516984087555E-2</v>
      </c>
      <c r="AM16" s="52">
        <f t="shared" si="67"/>
        <v>1.7525989516720714E-2</v>
      </c>
      <c r="AN16" s="52">
        <f t="shared" si="67"/>
        <v>1.745070980654503E-2</v>
      </c>
      <c r="AO16" s="52">
        <f t="shared" si="67"/>
        <v>1.7374738752929123E-2</v>
      </c>
      <c r="AP16" s="52">
        <f t="shared" si="67"/>
        <v>1.7298135111131808E-2</v>
      </c>
      <c r="AQ16" s="52">
        <f t="shared" si="67"/>
        <v>1.7220955537009641E-2</v>
      </c>
      <c r="AR16" s="52">
        <f t="shared" si="67"/>
        <v>1.714325463263118E-2</v>
      </c>
      <c r="AS16" s="52">
        <f t="shared" si="67"/>
        <v>1.7065084992614665E-2</v>
      </c>
      <c r="AT16" s="52">
        <f t="shared" si="67"/>
        <v>1.6986497251015979E-2</v>
      </c>
      <c r="AU16" s="52">
        <f t="shared" si="67"/>
        <v>1.6907540128612061E-2</v>
      </c>
      <c r="AV16" s="52">
        <f t="shared" si="67"/>
        <v>1.6828260480431675E-2</v>
      </c>
      <c r="AW16" s="52">
        <f t="shared" si="67"/>
        <v>1.6748703343399625E-2</v>
      </c>
      <c r="AX16" s="52">
        <f t="shared" si="67"/>
        <v>1.6668911983972422E-2</v>
      </c>
      <c r="AY16" s="52">
        <f t="shared" si="67"/>
        <v>1.6588927945651956E-2</v>
      </c>
      <c r="AZ16" s="52">
        <f t="shared" si="67"/>
        <v>1.6508791096274851E-2</v>
      </c>
      <c r="BA16" s="52">
        <f t="shared" si="67"/>
        <v>1.6428539674984532E-2</v>
      </c>
      <c r="BB16" s="52">
        <f t="shared" si="67"/>
        <v>1.6348210338803026E-2</v>
      </c>
      <c r="BC16" s="52">
        <f t="shared" si="67"/>
        <v>1.6267838208724524E-2</v>
      </c>
      <c r="BD16" s="52">
        <f t="shared" si="67"/>
        <v>1.6187456897706183E-2</v>
      </c>
      <c r="BE16" s="52">
        <f t="shared" si="67"/>
        <v>1.6107098624305507E-2</v>
      </c>
      <c r="BF16" s="52">
        <f t="shared" si="67"/>
        <v>1.60267941561184E-2</v>
      </c>
      <c r="BG16" s="52">
        <f t="shared" si="67"/>
        <v>1.5946572919209659E-2</v>
      </c>
      <c r="BH16" s="52">
        <f t="shared" si="67"/>
        <v>1.5866463024816656E-2</v>
      </c>
      <c r="BI16" s="52">
        <f t="shared" si="67"/>
        <v>1.5786491311404329E-2</v>
      </c>
      <c r="BJ16" s="52">
        <f t="shared" si="67"/>
        <v>1.5706683385910369E-2</v>
      </c>
      <c r="BK16" s="52">
        <f t="shared" si="67"/>
        <v>1.5627063664154457E-2</v>
      </c>
      <c r="BL16" s="52">
        <f t="shared" si="67"/>
        <v>1.5547655410390009E-2</v>
      </c>
      <c r="BM16" s="52">
        <f t="shared" si="67"/>
        <v>1.5468480775985217E-2</v>
      </c>
      <c r="BN16" s="52">
        <f t="shared" si="67"/>
        <v>1.5389560837215724E-2</v>
      </c>
      <c r="BO16" s="52">
        <f t="shared" si="67"/>
        <v>1.5310915632163311E-2</v>
      </c>
      <c r="BP16" s="52">
        <f t="shared" si="67"/>
        <v>1.5232564196713821E-2</v>
      </c>
      <c r="BQ16" s="52">
        <f t="shared" si="67"/>
        <v>1.5154524599649779E-2</v>
      </c>
      <c r="BR16" s="52">
        <f t="shared" si="67"/>
        <v>1.5076813976838922E-2</v>
      </c>
      <c r="BS16" s="52">
        <f t="shared" ref="BS16:CX23" si="69">IF(BS$9&lt;=$K$6,RATE($K$6,1,BS43,0),"")</f>
        <v>1.4999448564517341E-2</v>
      </c>
      <c r="BT16" s="52">
        <f t="shared" si="69"/>
        <v>1.4922443731675455E-2</v>
      </c>
      <c r="BU16" s="52">
        <f t="shared" si="69"/>
        <v>1.4845814011549267E-2</v>
      </c>
      <c r="BV16" s="52">
        <f t="shared" si="69"/>
        <v>1.4769573132224871E-2</v>
      </c>
      <c r="BW16" s="52">
        <f t="shared" si="69"/>
        <v>1.4693734046367139E-2</v>
      </c>
      <c r="BX16" s="52">
        <f t="shared" si="69"/>
        <v>1.4618308960082054E-2</v>
      </c>
      <c r="BY16" s="52">
        <f t="shared" si="69"/>
        <v>1.4543309360922083E-2</v>
      </c>
      <c r="BZ16" s="52">
        <f t="shared" si="69"/>
        <v>1.4468746045052798E-2</v>
      </c>
      <c r="CA16" s="52">
        <f t="shared" si="69"/>
        <v>1.4394629143587875E-2</v>
      </c>
      <c r="CB16" s="52">
        <f t="shared" si="69"/>
        <v>1.4320968148112578E-2</v>
      </c>
      <c r="CC16" s="52">
        <f t="shared" si="69"/>
        <v>1.4247771935407468E-2</v>
      </c>
      <c r="CD16" s="52">
        <f t="shared" si="69"/>
        <v>1.4175048791389401E-2</v>
      </c>
      <c r="CE16" s="52">
        <f t="shared" si="69"/>
        <v>1.4102806434285029E-2</v>
      </c>
      <c r="CF16" s="52">
        <f t="shared" si="69"/>
        <v>1.4031052037055425E-2</v>
      </c>
      <c r="CG16" s="52">
        <f t="shared" si="69"/>
        <v>1.3959792249086968E-2</v>
      </c>
      <c r="CH16" s="52">
        <f t="shared" si="69"/>
        <v>1.3889033217164849E-2</v>
      </c>
      <c r="CI16" s="52">
        <f t="shared" si="69"/>
        <v>1.381878060574938E-2</v>
      </c>
      <c r="CJ16" s="52">
        <f t="shared" si="69"/>
        <v>1.3749039616569848E-2</v>
      </c>
      <c r="CK16" s="52">
        <f t="shared" si="69"/>
        <v>1.3679815007554781E-2</v>
      </c>
      <c r="CL16" s="52">
        <f t="shared" si="69"/>
        <v>1.3611111111114118E-2</v>
      </c>
      <c r="CM16" s="52">
        <f t="shared" si="69"/>
        <v>1.3611111111114118E-2</v>
      </c>
      <c r="CN16" s="52">
        <f t="shared" si="69"/>
        <v>1.3611111111114118E-2</v>
      </c>
      <c r="CO16" s="52">
        <f t="shared" si="69"/>
        <v>1.3611111111114118E-2</v>
      </c>
      <c r="CP16" s="52">
        <f t="shared" si="69"/>
        <v>1.3611111111114118E-2</v>
      </c>
      <c r="CQ16" s="52">
        <f t="shared" si="69"/>
        <v>1.3611111111114118E-2</v>
      </c>
      <c r="CR16" s="52">
        <f t="shared" si="69"/>
        <v>1.3611111111114118E-2</v>
      </c>
      <c r="CS16" s="52">
        <f t="shared" si="69"/>
        <v>1.3611111111114118E-2</v>
      </c>
      <c r="CT16" s="52">
        <f t="shared" si="69"/>
        <v>1.3611111111114118E-2</v>
      </c>
      <c r="CU16" s="52">
        <f t="shared" si="69"/>
        <v>1.3611111111114118E-2</v>
      </c>
      <c r="CV16" s="52">
        <f t="shared" si="69"/>
        <v>1.3611111111114118E-2</v>
      </c>
      <c r="CW16" s="52">
        <f t="shared" si="69"/>
        <v>1.3611111111114118E-2</v>
      </c>
      <c r="CX16" s="52">
        <f t="shared" si="69"/>
        <v>1.3611111111114118E-2</v>
      </c>
      <c r="CY16" s="142">
        <f t="shared" si="68"/>
        <v>1.3611111111114118E-2</v>
      </c>
      <c r="CZ16" s="142">
        <f t="shared" si="68"/>
        <v>1.3611111111114118E-2</v>
      </c>
      <c r="DA16" s="142">
        <f t="shared" si="68"/>
        <v>1.3611111111114118E-2</v>
      </c>
      <c r="DB16" s="142">
        <f t="shared" si="68"/>
        <v>1.3611111111114118E-2</v>
      </c>
      <c r="DC16" s="142">
        <f t="shared" si="68"/>
        <v>1.3611111111114118E-2</v>
      </c>
      <c r="DD16" s="142">
        <f t="shared" si="68"/>
        <v>1.3611111111114118E-2</v>
      </c>
      <c r="DE16" s="142">
        <f t="shared" si="68"/>
        <v>1.3611111111114118E-2</v>
      </c>
      <c r="DF16" s="142">
        <f t="shared" si="68"/>
        <v>1.3611111111114118E-2</v>
      </c>
      <c r="DG16" s="142">
        <f t="shared" si="68"/>
        <v>1.3611111111114118E-2</v>
      </c>
      <c r="DH16" s="142">
        <f t="shared" si="68"/>
        <v>1.3611111111114118E-2</v>
      </c>
      <c r="DI16" s="142">
        <f t="shared" si="68"/>
        <v>1.3611111111114118E-2</v>
      </c>
      <c r="DJ16" s="142">
        <f t="shared" si="68"/>
        <v>1.3611111111114118E-2</v>
      </c>
      <c r="DK16" s="142">
        <f t="shared" si="68"/>
        <v>1.3611111111114118E-2</v>
      </c>
      <c r="DL16" s="142">
        <f t="shared" si="68"/>
        <v>1.3611111111114118E-2</v>
      </c>
      <c r="DM16" s="142">
        <f t="shared" si="68"/>
        <v>1.3611111111114118E-2</v>
      </c>
      <c r="DN16" s="142">
        <f t="shared" si="68"/>
        <v>1.3611111111114118E-2</v>
      </c>
      <c r="DO16" s="142">
        <f t="shared" si="68"/>
        <v>1.3611111111114118E-2</v>
      </c>
      <c r="DP16" s="142">
        <f t="shared" si="68"/>
        <v>1.3611111111114118E-2</v>
      </c>
      <c r="DQ16" s="142">
        <f t="shared" si="68"/>
        <v>1.3611111111114118E-2</v>
      </c>
      <c r="DR16" s="142">
        <f t="shared" si="68"/>
        <v>1.3611111111114118E-2</v>
      </c>
      <c r="DS16" s="142">
        <f t="shared" si="68"/>
        <v>1.3611111111114118E-2</v>
      </c>
      <c r="DT16" s="142">
        <f t="shared" si="68"/>
        <v>1.3611111111114118E-2</v>
      </c>
      <c r="DU16" s="142">
        <f t="shared" si="68"/>
        <v>1.3611111111114118E-2</v>
      </c>
      <c r="DV16" s="142">
        <f t="shared" si="68"/>
        <v>1.3611111111114118E-2</v>
      </c>
      <c r="DW16" s="48">
        <f t="shared" si="66"/>
        <v>1.3611111111114118E-2</v>
      </c>
      <c r="DX16" s="48">
        <f t="shared" si="66"/>
        <v>1.3611111111114118E-2</v>
      </c>
      <c r="DY16" s="48">
        <f t="shared" si="66"/>
        <v>1.3611111111114118E-2</v>
      </c>
      <c r="DZ16" s="48">
        <f t="shared" si="66"/>
        <v>1.3611111111114118E-2</v>
      </c>
      <c r="EA16" s="48">
        <f t="shared" si="66"/>
        <v>1.3611111111114118E-2</v>
      </c>
      <c r="EB16" s="48">
        <f t="shared" si="66"/>
        <v>1.3611111111114118E-2</v>
      </c>
      <c r="EC16" s="48">
        <f t="shared" si="66"/>
        <v>1.3611111111114118E-2</v>
      </c>
      <c r="ED16" s="48">
        <f t="shared" si="66"/>
        <v>1.3611111111114118E-2</v>
      </c>
      <c r="EE16" s="48">
        <f t="shared" si="66"/>
        <v>1.3611111111114118E-2</v>
      </c>
      <c r="EF16" s="48">
        <f t="shared" si="66"/>
        <v>1.3611111111114118E-2</v>
      </c>
      <c r="EG16" s="48">
        <f t="shared" si="66"/>
        <v>1.3611111111114118E-2</v>
      </c>
      <c r="EH16" s="48">
        <f t="shared" si="66"/>
        <v>1.3611111111114118E-2</v>
      </c>
      <c r="EI16" s="48">
        <f t="shared" si="66"/>
        <v>1.3611111111114118E-2</v>
      </c>
      <c r="EJ16" s="48">
        <f t="shared" si="66"/>
        <v>1.3611111111114118E-2</v>
      </c>
      <c r="EK16" s="48">
        <f t="shared" si="66"/>
        <v>1.3611111111114118E-2</v>
      </c>
      <c r="EL16" s="48">
        <f t="shared" si="66"/>
        <v>1.3611111111114118E-2</v>
      </c>
      <c r="EM16" s="48">
        <f t="shared" si="66"/>
        <v>1.3611111111114118E-2</v>
      </c>
      <c r="EN16" s="48">
        <f t="shared" si="66"/>
        <v>1.3611111111114118E-2</v>
      </c>
      <c r="EO16" s="48">
        <f t="shared" si="66"/>
        <v>1.3611111111114118E-2</v>
      </c>
      <c r="EP16" s="48">
        <f t="shared" si="66"/>
        <v>1.3611111111114118E-2</v>
      </c>
      <c r="EQ16" s="48">
        <f t="shared" si="66"/>
        <v>1.3611111111114118E-2</v>
      </c>
      <c r="ER16" s="48">
        <f t="shared" si="66"/>
        <v>1.3611111111114118E-2</v>
      </c>
      <c r="ES16" s="48">
        <f t="shared" si="66"/>
        <v>1.3611111111114118E-2</v>
      </c>
      <c r="ET16" s="48">
        <f t="shared" si="66"/>
        <v>1.3611111111114118E-2</v>
      </c>
      <c r="FA16" s="47"/>
      <c r="FF16" s="130" t="s">
        <v>136</v>
      </c>
      <c r="FG16" s="12">
        <v>2.4E-2</v>
      </c>
      <c r="FH16" s="12">
        <v>120</v>
      </c>
      <c r="FI16" s="12">
        <v>2.2000000000000002E-2</v>
      </c>
      <c r="FJ16" s="82">
        <v>1.6500000000000001E-2</v>
      </c>
      <c r="FK16" s="134">
        <f t="shared" si="62"/>
        <v>4.1666666666666664E-4</v>
      </c>
      <c r="FL16">
        <f>VLOOKUP(FF16,'SIMULADOR COM SALDO'!$BF$22:$BS$268,13,FALSE)</f>
        <v>2.4E-2</v>
      </c>
    </row>
    <row r="17" spans="5:168" ht="18" customHeight="1" x14ac:dyDescent="0.25">
      <c r="E17" s="141"/>
      <c r="F17" s="121">
        <f t="shared" si="63"/>
        <v>1.4033333333333328E-2</v>
      </c>
      <c r="G17" s="52">
        <f t="shared" si="67"/>
        <v>1.9096231993563143E-2</v>
      </c>
      <c r="H17" s="52">
        <f t="shared" si="67"/>
        <v>1.9088820744827532E-2</v>
      </c>
      <c r="I17" s="52">
        <f t="shared" si="67"/>
        <v>1.9077889788607503E-2</v>
      </c>
      <c r="J17" s="52">
        <f t="shared" si="67"/>
        <v>1.9063561287022742E-2</v>
      </c>
      <c r="K17" s="52">
        <f t="shared" si="67"/>
        <v>1.9045955900288757E-2</v>
      </c>
      <c r="L17" s="52">
        <f t="shared" si="67"/>
        <v>1.9025192667567206E-2</v>
      </c>
      <c r="M17" s="52">
        <f t="shared" si="67"/>
        <v>1.9001388898255929E-2</v>
      </c>
      <c r="N17" s="52">
        <f t="shared" si="67"/>
        <v>1.8974660073427463E-2</v>
      </c>
      <c r="O17" s="52">
        <f t="shared" si="67"/>
        <v>1.894511975709107E-2</v>
      </c>
      <c r="P17" s="52">
        <f t="shared" si="67"/>
        <v>1.891287951693792E-2</v>
      </c>
      <c r="Q17" s="52">
        <f t="shared" si="67"/>
        <v>1.8878048854206991E-2</v>
      </c>
      <c r="R17" s="52">
        <f t="shared" si="67"/>
        <v>1.8840735142297546E-2</v>
      </c>
      <c r="S17" s="52">
        <f t="shared" si="67"/>
        <v>1.8801043573742762E-2</v>
      </c>
      <c r="T17" s="52">
        <f t="shared" si="67"/>
        <v>1.8759077115147488E-2</v>
      </c>
      <c r="U17" s="52">
        <f t="shared" si="67"/>
        <v>1.8714936469697744E-2</v>
      </c>
      <c r="V17" s="52">
        <f t="shared" si="67"/>
        <v>1.8668720046837579E-2</v>
      </c>
      <c r="W17" s="52">
        <f t="shared" si="67"/>
        <v>1.862052393871531E-2</v>
      </c>
      <c r="X17" s="52">
        <f t="shared" si="67"/>
        <v>1.8570441903003533E-2</v>
      </c>
      <c r="Y17" s="52">
        <f t="shared" si="67"/>
        <v>1.8518565351699171E-2</v>
      </c>
      <c r="Z17" s="52">
        <f t="shared" si="67"/>
        <v>1.8464983345520707E-2</v>
      </c>
      <c r="AA17" s="52">
        <f t="shared" si="67"/>
        <v>1.8409782593522116E-2</v>
      </c>
      <c r="AB17" s="52">
        <f t="shared" si="67"/>
        <v>1.8353047457558842E-2</v>
      </c>
      <c r="AC17" s="52">
        <f t="shared" si="67"/>
        <v>1.8294859961245108E-2</v>
      </c>
      <c r="AD17" s="52">
        <f t="shared" si="67"/>
        <v>1.8235299803056663E-2</v>
      </c>
      <c r="AE17" s="52">
        <f t="shared" si="67"/>
        <v>1.8174444373247847E-2</v>
      </c>
      <c r="AF17" s="52">
        <f t="shared" si="67"/>
        <v>1.8112368774255205E-2</v>
      </c>
      <c r="AG17" s="52">
        <f t="shared" si="67"/>
        <v>1.8049145844284933E-2</v>
      </c>
      <c r="AH17" s="52">
        <f t="shared" si="67"/>
        <v>1.7984846183785499E-2</v>
      </c>
      <c r="AI17" s="52">
        <f t="shared" si="67"/>
        <v>1.791953818452419E-2</v>
      </c>
      <c r="AJ17" s="52">
        <f t="shared" si="67"/>
        <v>1.7853288061001327E-2</v>
      </c>
      <c r="AK17" s="52">
        <f t="shared" si="67"/>
        <v>1.7786159883945812E-2</v>
      </c>
      <c r="AL17" s="52">
        <f t="shared" si="67"/>
        <v>1.7718215615653909E-2</v>
      </c>
      <c r="AM17" s="52">
        <f t="shared" si="67"/>
        <v>1.7649515146942022E-2</v>
      </c>
      <c r="AN17" s="52">
        <f t="shared" si="67"/>
        <v>1.7580116335501411E-2</v>
      </c>
      <c r="AO17" s="52">
        <f t="shared" si="67"/>
        <v>1.7510075045453283E-2</v>
      </c>
      <c r="AP17" s="52">
        <f t="shared" si="67"/>
        <v>1.7439445187916978E-2</v>
      </c>
      <c r="AQ17" s="52">
        <f t="shared" si="67"/>
        <v>1.7368278762414188E-2</v>
      </c>
      <c r="AR17" s="52">
        <f t="shared" si="67"/>
        <v>1.7296625898948269E-2</v>
      </c>
      <c r="AS17" s="52">
        <f t="shared" si="67"/>
        <v>1.7224534900602776E-2</v>
      </c>
      <c r="AT17" s="52">
        <f t="shared" si="67"/>
        <v>1.7152052286521655E-2</v>
      </c>
      <c r="AU17" s="52">
        <f t="shared" si="67"/>
        <v>1.7079222835137697E-2</v>
      </c>
      <c r="AV17" s="52">
        <f t="shared" si="67"/>
        <v>1.70060896275325E-2</v>
      </c>
      <c r="AW17" s="52">
        <f t="shared" si="67"/>
        <v>1.6932694090812869E-2</v>
      </c>
      <c r="AX17" s="52">
        <f t="shared" si="67"/>
        <v>1.6859076041406667E-2</v>
      </c>
      <c r="AY17" s="52">
        <f t="shared" si="67"/>
        <v>1.6785273728183895E-2</v>
      </c>
      <c r="AZ17" s="52">
        <f t="shared" si="67"/>
        <v>1.6711323875317242E-2</v>
      </c>
      <c r="BA17" s="52">
        <f t="shared" si="67"/>
        <v>1.663726172480972E-2</v>
      </c>
      <c r="BB17" s="52">
        <f t="shared" si="67"/>
        <v>1.6563121078616568E-2</v>
      </c>
      <c r="BC17" s="52">
        <f t="shared" si="67"/>
        <v>1.6488934340302314E-2</v>
      </c>
      <c r="BD17" s="52">
        <f t="shared" si="67"/>
        <v>1.6414732556176218E-2</v>
      </c>
      <c r="BE17" s="52">
        <f t="shared" si="67"/>
        <v>1.6340545455857711E-2</v>
      </c>
      <c r="BF17" s="52">
        <f t="shared" si="67"/>
        <v>1.6266401492228997E-2</v>
      </c>
      <c r="BG17" s="52">
        <f t="shared" si="67"/>
        <v>1.6192327863264754E-2</v>
      </c>
      <c r="BH17" s="52">
        <f t="shared" si="67"/>
        <v>1.611835061911664E-2</v>
      </c>
      <c r="BI17" s="52">
        <f t="shared" si="67"/>
        <v>1.6044494599325113E-2</v>
      </c>
      <c r="BJ17" s="52">
        <f t="shared" si="67"/>
        <v>1.5970783535836672E-2</v>
      </c>
      <c r="BK17" s="52">
        <f t="shared" si="67"/>
        <v>1.5897240073254326E-2</v>
      </c>
      <c r="BL17" s="52">
        <f t="shared" si="67"/>
        <v>1.5823885804474982E-2</v>
      </c>
      <c r="BM17" s="52">
        <f t="shared" si="67"/>
        <v>1.5750741305539953E-2</v>
      </c>
      <c r="BN17" s="52">
        <f t="shared" si="67"/>
        <v>1.5677826169688144E-2</v>
      </c>
      <c r="BO17" s="52">
        <f t="shared" si="67"/>
        <v>1.560515904060971E-2</v>
      </c>
      <c r="BP17" s="52">
        <f t="shared" si="67"/>
        <v>1.5532757644889612E-2</v>
      </c>
      <c r="BQ17" s="52">
        <f t="shared" si="67"/>
        <v>1.5460638823643678E-2</v>
      </c>
      <c r="BR17" s="52">
        <f t="shared" si="67"/>
        <v>1.5388818563346831E-2</v>
      </c>
      <c r="BS17" s="52">
        <f t="shared" si="69"/>
        <v>1.5317312025853293E-2</v>
      </c>
      <c r="BT17" s="52">
        <f t="shared" si="69"/>
        <v>1.5246133577615451E-2</v>
      </c>
      <c r="BU17" s="52">
        <f t="shared" si="69"/>
        <v>1.517529681810589E-2</v>
      </c>
      <c r="BV17" s="52">
        <f t="shared" si="69"/>
        <v>1.5104814607449869E-2</v>
      </c>
      <c r="BW17" s="52">
        <f t="shared" si="69"/>
        <v>1.5034699093276448E-2</v>
      </c>
      <c r="BX17" s="52">
        <f t="shared" si="69"/>
        <v>1.496496173679848E-2</v>
      </c>
      <c r="BY17" s="52">
        <f t="shared" si="69"/>
        <v>1.489561333812999E-2</v>
      </c>
      <c r="BZ17" s="52">
        <f t="shared" si="69"/>
        <v>1.4826664060856429E-2</v>
      </c>
      <c r="CA17" s="52">
        <f t="shared" si="69"/>
        <v>1.475812345586351E-2</v>
      </c>
      <c r="CB17" s="52">
        <f t="shared" si="69"/>
        <v>1.4690000484445751E-2</v>
      </c>
      <c r="CC17" s="52">
        <f t="shared" si="69"/>
        <v>1.4622303540699946E-2</v>
      </c>
      <c r="CD17" s="52">
        <f t="shared" si="69"/>
        <v>1.45550404732234E-2</v>
      </c>
      <c r="CE17" s="52">
        <f t="shared" si="69"/>
        <v>1.4488218606127597E-2</v>
      </c>
      <c r="CF17" s="52">
        <f t="shared" si="69"/>
        <v>1.4421844759385415E-2</v>
      </c>
      <c r="CG17" s="52">
        <f t="shared" si="69"/>
        <v>1.4355925268521178E-2</v>
      </c>
      <c r="CH17" s="52">
        <f t="shared" si="69"/>
        <v>1.4290466003666282E-2</v>
      </c>
      <c r="CI17" s="52">
        <f t="shared" si="69"/>
        <v>1.4225472387987386E-2</v>
      </c>
      <c r="CJ17" s="52">
        <f t="shared" si="69"/>
        <v>1.4160949415509196E-2</v>
      </c>
      <c r="CK17" s="52">
        <f t="shared" si="69"/>
        <v>1.4096901668342149E-2</v>
      </c>
      <c r="CL17" s="52">
        <f t="shared" si="69"/>
        <v>1.4033333333334966E-2</v>
      </c>
      <c r="CM17" s="52">
        <f t="shared" si="69"/>
        <v>1.4033333333334966E-2</v>
      </c>
      <c r="CN17" s="52">
        <f t="shared" si="69"/>
        <v>1.4033333333334966E-2</v>
      </c>
      <c r="CO17" s="52">
        <f t="shared" si="69"/>
        <v>1.4033333333334966E-2</v>
      </c>
      <c r="CP17" s="52">
        <f t="shared" si="69"/>
        <v>1.4033333333334966E-2</v>
      </c>
      <c r="CQ17" s="52">
        <f t="shared" si="69"/>
        <v>1.4033333333334966E-2</v>
      </c>
      <c r="CR17" s="52">
        <f t="shared" si="69"/>
        <v>1.4033333333334966E-2</v>
      </c>
      <c r="CS17" s="52">
        <f t="shared" si="69"/>
        <v>1.4033333333334966E-2</v>
      </c>
      <c r="CT17" s="52">
        <f t="shared" si="69"/>
        <v>1.4033333333334966E-2</v>
      </c>
      <c r="CU17" s="52">
        <f t="shared" si="69"/>
        <v>1.4033333333334966E-2</v>
      </c>
      <c r="CV17" s="52">
        <f t="shared" si="69"/>
        <v>1.4033333333334966E-2</v>
      </c>
      <c r="CW17" s="52">
        <f t="shared" si="69"/>
        <v>1.4033333333334966E-2</v>
      </c>
      <c r="CX17" s="52">
        <f t="shared" si="69"/>
        <v>1.4033333333334966E-2</v>
      </c>
      <c r="CY17" s="142">
        <f t="shared" si="68"/>
        <v>1.4033333333334966E-2</v>
      </c>
      <c r="CZ17" s="142">
        <f t="shared" si="68"/>
        <v>1.4033333333334966E-2</v>
      </c>
      <c r="DA17" s="142">
        <f t="shared" si="68"/>
        <v>1.4033333333334966E-2</v>
      </c>
      <c r="DB17" s="142">
        <f t="shared" si="68"/>
        <v>1.4033333333334966E-2</v>
      </c>
      <c r="DC17" s="142">
        <f t="shared" si="68"/>
        <v>1.4033333333334966E-2</v>
      </c>
      <c r="DD17" s="142">
        <f t="shared" si="68"/>
        <v>1.4033333333334966E-2</v>
      </c>
      <c r="DE17" s="142">
        <f t="shared" si="68"/>
        <v>1.4033333333334966E-2</v>
      </c>
      <c r="DF17" s="142">
        <f t="shared" si="68"/>
        <v>1.4033333333334966E-2</v>
      </c>
      <c r="DG17" s="142">
        <f t="shared" si="68"/>
        <v>1.4033333333334966E-2</v>
      </c>
      <c r="DH17" s="142">
        <f t="shared" si="68"/>
        <v>1.4033333333334966E-2</v>
      </c>
      <c r="DI17" s="142">
        <f t="shared" si="68"/>
        <v>1.4033333333334966E-2</v>
      </c>
      <c r="DJ17" s="142">
        <f t="shared" si="68"/>
        <v>1.4033333333334966E-2</v>
      </c>
      <c r="DK17" s="142">
        <f t="shared" si="68"/>
        <v>1.4033333333334966E-2</v>
      </c>
      <c r="DL17" s="142">
        <f t="shared" si="68"/>
        <v>1.4033333333334966E-2</v>
      </c>
      <c r="DM17" s="142">
        <f t="shared" si="68"/>
        <v>1.4033333333334966E-2</v>
      </c>
      <c r="DN17" s="142">
        <f t="shared" si="68"/>
        <v>1.4033333333334966E-2</v>
      </c>
      <c r="DO17" s="142">
        <f t="shared" si="68"/>
        <v>1.4033333333334966E-2</v>
      </c>
      <c r="DP17" s="142">
        <f t="shared" si="68"/>
        <v>1.4033333333334966E-2</v>
      </c>
      <c r="DQ17" s="142">
        <f t="shared" si="68"/>
        <v>1.4033333333334966E-2</v>
      </c>
      <c r="DR17" s="142">
        <f t="shared" si="68"/>
        <v>1.4033333333334966E-2</v>
      </c>
      <c r="DS17" s="142">
        <f t="shared" si="68"/>
        <v>1.4033333333334966E-2</v>
      </c>
      <c r="DT17" s="142">
        <f t="shared" si="68"/>
        <v>1.4033333333334966E-2</v>
      </c>
      <c r="DU17" s="142">
        <f t="shared" si="68"/>
        <v>1.4033333333334966E-2</v>
      </c>
      <c r="DV17" s="142">
        <f t="shared" si="68"/>
        <v>1.4033333333334966E-2</v>
      </c>
      <c r="DW17" s="48">
        <f t="shared" si="66"/>
        <v>1.4033333333334966E-2</v>
      </c>
      <c r="DX17" s="48">
        <f t="shared" si="66"/>
        <v>1.4033333333334966E-2</v>
      </c>
      <c r="DY17" s="48">
        <f t="shared" si="66"/>
        <v>1.4033333333334966E-2</v>
      </c>
      <c r="DZ17" s="48">
        <f t="shared" si="66"/>
        <v>1.4033333333334966E-2</v>
      </c>
      <c r="EA17" s="48">
        <f t="shared" si="66"/>
        <v>1.4033333333334966E-2</v>
      </c>
      <c r="EB17" s="48">
        <f t="shared" si="66"/>
        <v>1.4033333333334966E-2</v>
      </c>
      <c r="EC17" s="48">
        <f t="shared" si="66"/>
        <v>1.4033333333334966E-2</v>
      </c>
      <c r="ED17" s="48">
        <f t="shared" si="66"/>
        <v>1.4033333333334966E-2</v>
      </c>
      <c r="EE17" s="48">
        <f t="shared" si="66"/>
        <v>1.4033333333334966E-2</v>
      </c>
      <c r="EF17" s="48">
        <f t="shared" si="66"/>
        <v>1.4033333333334966E-2</v>
      </c>
      <c r="EG17" s="48">
        <f t="shared" si="66"/>
        <v>1.4033333333334966E-2</v>
      </c>
      <c r="EH17" s="48">
        <f t="shared" si="66"/>
        <v>1.4033333333334966E-2</v>
      </c>
      <c r="EI17" s="48">
        <f t="shared" si="66"/>
        <v>1.4033333333334966E-2</v>
      </c>
      <c r="EJ17" s="48">
        <f t="shared" si="66"/>
        <v>1.4033333333334966E-2</v>
      </c>
      <c r="EK17" s="48">
        <f t="shared" si="66"/>
        <v>1.4033333333334966E-2</v>
      </c>
      <c r="EL17" s="48">
        <f t="shared" si="66"/>
        <v>1.4033333333334966E-2</v>
      </c>
      <c r="EM17" s="48">
        <f t="shared" si="66"/>
        <v>1.4033333333334966E-2</v>
      </c>
      <c r="EN17" s="48">
        <f t="shared" si="66"/>
        <v>1.4033333333334966E-2</v>
      </c>
      <c r="EO17" s="48">
        <f t="shared" si="66"/>
        <v>1.4033333333334966E-2</v>
      </c>
      <c r="EP17" s="48">
        <f t="shared" si="66"/>
        <v>1.4033333333334966E-2</v>
      </c>
      <c r="EQ17" s="48">
        <f t="shared" si="66"/>
        <v>1.4033333333334966E-2</v>
      </c>
      <c r="ER17" s="48">
        <f t="shared" si="66"/>
        <v>1.4033333333334966E-2</v>
      </c>
      <c r="ES17" s="48">
        <f t="shared" si="66"/>
        <v>1.4033333333334966E-2</v>
      </c>
      <c r="ET17" s="48">
        <f t="shared" si="66"/>
        <v>1.4033333333334966E-2</v>
      </c>
      <c r="FA17" s="47"/>
      <c r="FF17" s="130" t="s">
        <v>98</v>
      </c>
      <c r="FG17" s="12">
        <v>2.4E-2</v>
      </c>
      <c r="FH17" s="12">
        <v>120</v>
      </c>
      <c r="FI17" s="12">
        <v>2.0499999999999997E-2</v>
      </c>
      <c r="FJ17" s="82">
        <v>1.4999999999999999E-2</v>
      </c>
      <c r="FK17" s="134">
        <f t="shared" si="62"/>
        <v>5.0000000000000001E-4</v>
      </c>
      <c r="FL17">
        <f>VLOOKUP(FF17,'SIMULADOR COM SALDO'!$BF$22:$BS$268,13,FALSE)</f>
        <v>2.4E-2</v>
      </c>
    </row>
    <row r="18" spans="5:168" ht="18" customHeight="1" x14ac:dyDescent="0.25">
      <c r="E18" s="141"/>
      <c r="F18" s="121">
        <f t="shared" si="63"/>
        <v>1.445555555555555E-2</v>
      </c>
      <c r="G18" s="52">
        <f t="shared" si="67"/>
        <v>1.9096547405454745E-2</v>
      </c>
      <c r="H18" s="52">
        <f t="shared" si="67"/>
        <v>1.908975779985124E-2</v>
      </c>
      <c r="I18" s="52">
        <f t="shared" si="67"/>
        <v>1.9079745434231795E-2</v>
      </c>
      <c r="J18" s="52">
        <f t="shared" si="67"/>
        <v>1.9066623112067187E-2</v>
      </c>
      <c r="K18" s="52">
        <f t="shared" si="67"/>
        <v>1.9050502086792244E-2</v>
      </c>
      <c r="L18" s="52">
        <f t="shared" si="67"/>
        <v>1.9031491967883972E-2</v>
      </c>
      <c r="M18" s="52">
        <f t="shared" si="67"/>
        <v>1.9009700635851688E-2</v>
      </c>
      <c r="N18" s="52">
        <f t="shared" si="67"/>
        <v>1.8985234165850972E-2</v>
      </c>
      <c r="O18" s="52">
        <f t="shared" si="67"/>
        <v>1.8958196759606263E-2</v>
      </c>
      <c r="P18" s="52">
        <f t="shared" si="67"/>
        <v>1.8928690685320226E-2</v>
      </c>
      <c r="Q18" s="52">
        <f t="shared" si="67"/>
        <v>1.8896816225236247E-2</v>
      </c>
      <c r="R18" s="52">
        <f t="shared" si="67"/>
        <v>1.8862671630508424E-2</v>
      </c>
      <c r="S18" s="52">
        <f t="shared" si="67"/>
        <v>1.8826353083034267E-2</v>
      </c>
      <c r="T18" s="52">
        <f t="shared" si="67"/>
        <v>1.8787954663898071E-2</v>
      </c>
      <c r="U18" s="52">
        <f t="shared" si="67"/>
        <v>1.8747568328073796E-2</v>
      </c>
      <c r="V18" s="52">
        <f t="shared" si="67"/>
        <v>1.8705283885038164E-2</v>
      </c>
      <c r="W18" s="52">
        <f t="shared" si="67"/>
        <v>1.8661188984946408E-2</v>
      </c>
      <c r="X18" s="52">
        <f t="shared" si="67"/>
        <v>1.8615369110029655E-2</v>
      </c>
      <c r="Y18" s="52">
        <f t="shared" si="67"/>
        <v>1.8567907570877198E-2</v>
      </c>
      <c r="Z18" s="52">
        <f t="shared" si="67"/>
        <v>1.8518885507276709E-2</v>
      </c>
      <c r="AA18" s="52">
        <f t="shared" si="67"/>
        <v>1.8468381893288088E-2</v>
      </c>
      <c r="AB18" s="52">
        <f t="shared" si="67"/>
        <v>1.8416473546246911E-2</v>
      </c>
      <c r="AC18" s="52">
        <f t="shared" si="67"/>
        <v>1.8363235139388201E-2</v>
      </c>
      <c r="AD18" s="52">
        <f t="shared" si="67"/>
        <v>1.8308739217807585E-2</v>
      </c>
      <c r="AE18" s="52">
        <f t="shared" si="67"/>
        <v>1.8253056217474729E-2</v>
      </c>
      <c r="AF18" s="52">
        <f t="shared" si="67"/>
        <v>1.8196254487034959E-2</v>
      </c>
      <c r="AG18" s="52">
        <f t="shared" si="67"/>
        <v>1.8138400312139504E-2</v>
      </c>
      <c r="AH18" s="52">
        <f t="shared" si="67"/>
        <v>1.807955794206274E-2</v>
      </c>
      <c r="AI18" s="52">
        <f t="shared" si="67"/>
        <v>1.8019789618371293E-2</v>
      </c>
      <c r="AJ18" s="52">
        <f t="shared" si="67"/>
        <v>1.7959155605424583E-2</v>
      </c>
      <c r="AK18" s="52">
        <f t="shared" si="67"/>
        <v>1.7897714222499451E-2</v>
      </c>
      <c r="AL18" s="52">
        <f t="shared" si="67"/>
        <v>1.7835521877337002E-2</v>
      </c>
      <c r="AM18" s="52">
        <f t="shared" si="67"/>
        <v>1.7772633100931953E-2</v>
      </c>
      <c r="AN18" s="52">
        <f t="shared" si="67"/>
        <v>1.7709100583381723E-2</v>
      </c>
      <c r="AO18" s="52">
        <f t="shared" si="67"/>
        <v>1.7644975210638653E-2</v>
      </c>
      <c r="AP18" s="52">
        <f t="shared" si="67"/>
        <v>1.7580306102006032E-2</v>
      </c>
      <c r="AQ18" s="52">
        <f t="shared" si="67"/>
        <v>1.7515140648238444E-2</v>
      </c>
      <c r="AR18" s="52">
        <f t="shared" si="67"/>
        <v>1.744952455011177E-2</v>
      </c>
      <c r="AS18" s="52">
        <f t="shared" si="67"/>
        <v>1.7383501857338505E-2</v>
      </c>
      <c r="AT18" s="52">
        <f t="shared" si="67"/>
        <v>1.7317115007714462E-2</v>
      </c>
      <c r="AU18" s="52">
        <f t="shared" si="67"/>
        <v>1.7250404866392538E-2</v>
      </c>
      <c r="AV18" s="52">
        <f t="shared" si="67"/>
        <v>1.7183410765183246E-2</v>
      </c>
      <c r="AW18" s="52">
        <f t="shared" si="67"/>
        <v>1.7116170541793926E-2</v>
      </c>
      <c r="AX18" s="52">
        <f t="shared" si="67"/>
        <v>1.704872057892665E-2</v>
      </c>
      <c r="AY18" s="52">
        <f t="shared" si="67"/>
        <v>1.6981095843156446E-2</v>
      </c>
      <c r="AZ18" s="52">
        <f t="shared" si="67"/>
        <v>1.6913329923526531E-2</v>
      </c>
      <c r="BA18" s="52">
        <f t="shared" si="67"/>
        <v>1.6845455069793847E-2</v>
      </c>
      <c r="BB18" s="52">
        <f t="shared" si="67"/>
        <v>1.677750223027627E-2</v>
      </c>
      <c r="BC18" s="52">
        <f t="shared" si="67"/>
        <v>1.6709501089244433E-2</v>
      </c>
      <c r="BD18" s="52">
        <f t="shared" si="67"/>
        <v>1.6641480103821375E-2</v>
      </c>
      <c r="BE18" s="52">
        <f t="shared" si="67"/>
        <v>1.6573466540345406E-2</v>
      </c>
      <c r="BF18" s="52">
        <f t="shared" si="67"/>
        <v>1.6505486510163141E-2</v>
      </c>
      <c r="BG18" s="52">
        <f t="shared" si="67"/>
        <v>1.6437565004825232E-2</v>
      </c>
      <c r="BH18" s="52">
        <f t="shared" si="67"/>
        <v>1.6369725930654968E-2</v>
      </c>
      <c r="BI18" s="52">
        <f t="shared" si="67"/>
        <v>1.6301992142669766E-2</v>
      </c>
      <c r="BJ18" s="52">
        <f t="shared" si="67"/>
        <v>1.6234385477836663E-2</v>
      </c>
      <c r="BK18" s="52">
        <f t="shared" si="67"/>
        <v>1.6166926769703455E-2</v>
      </c>
      <c r="BL18" s="52">
        <f t="shared" si="67"/>
        <v>1.6099635950735405E-2</v>
      </c>
      <c r="BM18" s="52">
        <f t="shared" si="67"/>
        <v>1.6032531979685107E-2</v>
      </c>
      <c r="BN18" s="52">
        <f t="shared" si="67"/>
        <v>1.5965632940062077E-2</v>
      </c>
      <c r="BO18" s="52">
        <f t="shared" si="67"/>
        <v>1.5898956053165943E-2</v>
      </c>
      <c r="BP18" s="52">
        <f t="shared" si="67"/>
        <v>1.5832517707120655E-2</v>
      </c>
      <c r="BQ18" s="52">
        <f t="shared" si="67"/>
        <v>1.576633348518372E-2</v>
      </c>
      <c r="BR18" s="52">
        <f t="shared" ref="BR18" si="70">IF(BR$9&lt;=$K$6,RATE($K$6,1,BR45,0),"")</f>
        <v>1.570041819334184E-2</v>
      </c>
      <c r="BS18" s="52">
        <f t="shared" si="69"/>
        <v>1.5634785887190035E-2</v>
      </c>
      <c r="BT18" s="52">
        <f t="shared" si="69"/>
        <v>1.5569449898098968E-2</v>
      </c>
      <c r="BU18" s="52">
        <f t="shared" si="69"/>
        <v>1.5504422858677994E-2</v>
      </c>
      <c r="BV18" s="52">
        <f t="shared" si="69"/>
        <v>1.543971672753993E-2</v>
      </c>
      <c r="BW18" s="52">
        <f t="shared" si="69"/>
        <v>1.53753428133729E-2</v>
      </c>
      <c r="BX18" s="52">
        <f t="shared" si="69"/>
        <v>1.5311311798330941E-2</v>
      </c>
      <c r="BY18" s="52">
        <f t="shared" si="69"/>
        <v>1.5247633760752041E-2</v>
      </c>
      <c r="BZ18" s="52">
        <f t="shared" si="69"/>
        <v>1.518431819721305E-2</v>
      </c>
      <c r="CA18" s="52">
        <f t="shared" si="69"/>
        <v>1.5121374043930743E-2</v>
      </c>
      <c r="CB18" s="52">
        <f t="shared" si="69"/>
        <v>1.5058809697526493E-2</v>
      </c>
      <c r="CC18" s="52">
        <f t="shared" si="69"/>
        <v>1.4996633035157378E-2</v>
      </c>
      <c r="CD18" s="52">
        <f t="shared" si="69"/>
        <v>1.4934851434033993E-2</v>
      </c>
      <c r="CE18" s="52">
        <f t="shared" si="69"/>
        <v>1.4873471790333166E-2</v>
      </c>
      <c r="CF18" s="52">
        <f t="shared" si="69"/>
        <v>1.4812500537518428E-2</v>
      </c>
      <c r="CG18" s="52">
        <f t="shared" si="69"/>
        <v>1.4751943664084159E-2</v>
      </c>
      <c r="CH18" s="52">
        <f t="shared" si="69"/>
        <v>1.4691806730732702E-2</v>
      </c>
      <c r="CI18" s="52">
        <f t="shared" si="69"/>
        <v>1.463209488700022E-2</v>
      </c>
      <c r="CJ18" s="52">
        <f t="shared" si="69"/>
        <v>1.4572812887343974E-2</v>
      </c>
      <c r="CK18" s="52">
        <f t="shared" si="69"/>
        <v>1.4513965106705145E-2</v>
      </c>
      <c r="CL18" s="52">
        <f t="shared" si="69"/>
        <v>1.4455555555556672E-2</v>
      </c>
      <c r="CM18" s="52">
        <f t="shared" si="69"/>
        <v>1.4455555555556672E-2</v>
      </c>
      <c r="CN18" s="52">
        <f t="shared" si="69"/>
        <v>1.4455555555556672E-2</v>
      </c>
      <c r="CO18" s="52">
        <f t="shared" si="69"/>
        <v>1.4455555555556672E-2</v>
      </c>
      <c r="CP18" s="52">
        <f t="shared" si="69"/>
        <v>1.4455555555556672E-2</v>
      </c>
      <c r="CQ18" s="52">
        <f t="shared" si="69"/>
        <v>1.4455555555556672E-2</v>
      </c>
      <c r="CR18" s="52">
        <f t="shared" si="69"/>
        <v>1.4455555555556672E-2</v>
      </c>
      <c r="CS18" s="52">
        <f t="shared" si="69"/>
        <v>1.4455555555556672E-2</v>
      </c>
      <c r="CT18" s="52">
        <f t="shared" si="69"/>
        <v>1.4455555555556672E-2</v>
      </c>
      <c r="CU18" s="52">
        <f t="shared" si="69"/>
        <v>1.4455555555556672E-2</v>
      </c>
      <c r="CV18" s="52">
        <f t="shared" si="69"/>
        <v>1.4455555555556672E-2</v>
      </c>
      <c r="CW18" s="52">
        <f t="shared" si="69"/>
        <v>1.4455555555556672E-2</v>
      </c>
      <c r="CX18" s="52">
        <f t="shared" si="69"/>
        <v>1.4455555555556672E-2</v>
      </c>
      <c r="CY18" s="142">
        <f t="shared" si="68"/>
        <v>1.4455555555556672E-2</v>
      </c>
      <c r="CZ18" s="142">
        <f t="shared" si="68"/>
        <v>1.4455555555556672E-2</v>
      </c>
      <c r="DA18" s="142">
        <f t="shared" si="68"/>
        <v>1.4455555555556672E-2</v>
      </c>
      <c r="DB18" s="142">
        <f t="shared" si="68"/>
        <v>1.4455555555556672E-2</v>
      </c>
      <c r="DC18" s="142">
        <f t="shared" si="68"/>
        <v>1.4455555555556672E-2</v>
      </c>
      <c r="DD18" s="142">
        <f t="shared" si="68"/>
        <v>1.4455555555556672E-2</v>
      </c>
      <c r="DE18" s="142">
        <f t="shared" si="68"/>
        <v>1.4455555555556672E-2</v>
      </c>
      <c r="DF18" s="142">
        <f t="shared" si="68"/>
        <v>1.4455555555556672E-2</v>
      </c>
      <c r="DG18" s="142">
        <f t="shared" si="68"/>
        <v>1.4455555555556672E-2</v>
      </c>
      <c r="DH18" s="142">
        <f t="shared" si="68"/>
        <v>1.4455555555556672E-2</v>
      </c>
      <c r="DI18" s="142">
        <f t="shared" si="68"/>
        <v>1.4455555555556672E-2</v>
      </c>
      <c r="DJ18" s="142">
        <f t="shared" si="68"/>
        <v>1.4455555555556672E-2</v>
      </c>
      <c r="DK18" s="142">
        <f t="shared" si="68"/>
        <v>1.4455555555556672E-2</v>
      </c>
      <c r="DL18" s="142">
        <f t="shared" si="68"/>
        <v>1.4455555555556672E-2</v>
      </c>
      <c r="DM18" s="142">
        <f t="shared" si="68"/>
        <v>1.4455555555556672E-2</v>
      </c>
      <c r="DN18" s="142">
        <f t="shared" si="68"/>
        <v>1.4455555555556672E-2</v>
      </c>
      <c r="DO18" s="142">
        <f t="shared" si="68"/>
        <v>1.4455555555556672E-2</v>
      </c>
      <c r="DP18" s="142">
        <f t="shared" si="68"/>
        <v>1.4455555555556672E-2</v>
      </c>
      <c r="DQ18" s="142">
        <f t="shared" si="68"/>
        <v>1.4455555555556672E-2</v>
      </c>
      <c r="DR18" s="142">
        <f t="shared" si="68"/>
        <v>1.4455555555556672E-2</v>
      </c>
      <c r="DS18" s="142">
        <f t="shared" si="68"/>
        <v>1.4455555555556672E-2</v>
      </c>
      <c r="DT18" s="142">
        <f t="shared" si="68"/>
        <v>1.4455555555556672E-2</v>
      </c>
      <c r="DU18" s="142">
        <f t="shared" si="68"/>
        <v>1.4455555555556672E-2</v>
      </c>
      <c r="DV18" s="142">
        <f t="shared" si="68"/>
        <v>1.4455555555556672E-2</v>
      </c>
      <c r="DW18" s="48">
        <f t="shared" si="66"/>
        <v>1.4455555555556672E-2</v>
      </c>
      <c r="DX18" s="48">
        <f t="shared" si="66"/>
        <v>1.4455555555556672E-2</v>
      </c>
      <c r="DY18" s="48">
        <f t="shared" si="66"/>
        <v>1.4455555555556672E-2</v>
      </c>
      <c r="DZ18" s="48">
        <f t="shared" si="66"/>
        <v>1.4455555555556672E-2</v>
      </c>
      <c r="EA18" s="48">
        <f t="shared" si="66"/>
        <v>1.4455555555556672E-2</v>
      </c>
      <c r="EB18" s="48">
        <f t="shared" si="66"/>
        <v>1.4455555555556672E-2</v>
      </c>
      <c r="EC18" s="48">
        <f t="shared" si="66"/>
        <v>1.4455555555556672E-2</v>
      </c>
      <c r="ED18" s="48">
        <f t="shared" si="66"/>
        <v>1.4455555555556672E-2</v>
      </c>
      <c r="EE18" s="48">
        <f t="shared" si="66"/>
        <v>1.4455555555556672E-2</v>
      </c>
      <c r="EF18" s="48">
        <f t="shared" si="66"/>
        <v>1.4455555555556672E-2</v>
      </c>
      <c r="EG18" s="48">
        <f t="shared" si="66"/>
        <v>1.4455555555556672E-2</v>
      </c>
      <c r="EH18" s="48">
        <f t="shared" si="66"/>
        <v>1.4455555555556672E-2</v>
      </c>
      <c r="EI18" s="48">
        <f t="shared" si="66"/>
        <v>1.4455555555556672E-2</v>
      </c>
      <c r="EJ18" s="48">
        <f t="shared" si="66"/>
        <v>1.4455555555556672E-2</v>
      </c>
      <c r="EK18" s="48">
        <f t="shared" si="66"/>
        <v>1.4455555555556672E-2</v>
      </c>
      <c r="EL18" s="48">
        <f t="shared" si="66"/>
        <v>1.4455555555556672E-2</v>
      </c>
      <c r="EM18" s="48">
        <f t="shared" si="66"/>
        <v>1.4455555555556672E-2</v>
      </c>
      <c r="EN18" s="48">
        <f t="shared" si="66"/>
        <v>1.4455555555556672E-2</v>
      </c>
      <c r="EO18" s="48">
        <f t="shared" si="66"/>
        <v>1.4455555555556672E-2</v>
      </c>
      <c r="EP18" s="48">
        <f t="shared" si="66"/>
        <v>1.4455555555556672E-2</v>
      </c>
      <c r="EQ18" s="48">
        <f t="shared" si="66"/>
        <v>1.4455555555556672E-2</v>
      </c>
      <c r="ER18" s="48">
        <f t="shared" si="66"/>
        <v>1.4455555555556672E-2</v>
      </c>
      <c r="ES18" s="48">
        <f t="shared" si="66"/>
        <v>1.4455555555556672E-2</v>
      </c>
      <c r="ET18" s="48">
        <f t="shared" si="66"/>
        <v>1.4455555555556672E-2</v>
      </c>
      <c r="FA18" s="47"/>
      <c r="FF18" s="130" t="s">
        <v>94</v>
      </c>
      <c r="FG18" s="12">
        <v>2.2000000000000002E-2</v>
      </c>
      <c r="FH18" s="12">
        <v>96</v>
      </c>
      <c r="FI18" s="12">
        <v>1.8500000000000003E-2</v>
      </c>
      <c r="FJ18" s="82">
        <v>1.3000000000000001E-2</v>
      </c>
      <c r="FK18" s="134">
        <f t="shared" si="62"/>
        <v>5.0000000000000001E-4</v>
      </c>
      <c r="FL18">
        <f>VLOOKUP(FF18,'SIMULADOR COM SALDO'!$BF$22:$BS$268,13,FALSE)</f>
        <v>2.2000000000000002E-2</v>
      </c>
    </row>
    <row r="19" spans="5:168" ht="18" customHeight="1" x14ac:dyDescent="0.25">
      <c r="E19" s="141"/>
      <c r="F19" s="121">
        <f t="shared" si="63"/>
        <v>1.4877777777777771E-2</v>
      </c>
      <c r="G19" s="52">
        <f t="shared" ref="G19:BR22" si="71">IF(G$9&lt;=$K$6,RATE($K$6,1,G46,0),"")</f>
        <v>1.9096862559697919E-2</v>
      </c>
      <c r="H19" s="52">
        <f t="shared" si="71"/>
        <v>1.9090693858984199E-2</v>
      </c>
      <c r="I19" s="52">
        <f t="shared" si="71"/>
        <v>1.9081598679243004E-2</v>
      </c>
      <c r="J19" s="52">
        <f t="shared" si="71"/>
        <v>1.9069680313766976E-2</v>
      </c>
      <c r="K19" s="52">
        <f t="shared" si="71"/>
        <v>1.9055040489371147E-2</v>
      </c>
      <c r="L19" s="52">
        <f t="shared" si="71"/>
        <v>1.9037779295084985E-2</v>
      </c>
      <c r="M19" s="52">
        <f t="shared" si="71"/>
        <v>1.9017995118299477E-2</v>
      </c>
      <c r="N19" s="52">
        <f t="shared" si="71"/>
        <v>1.8995784588089391E-2</v>
      </c>
      <c r="O19" s="52">
        <f t="shared" si="71"/>
        <v>1.8971242525421966E-2</v>
      </c>
      <c r="P19" s="52">
        <f t="shared" si="71"/>
        <v>1.8944461899954104E-2</v>
      </c>
      <c r="Q19" s="52">
        <f t="shared" si="71"/>
        <v>1.8915533793116116E-2</v>
      </c>
      <c r="R19" s="52">
        <f t="shared" si="71"/>
        <v>1.888454736717872E-2</v>
      </c>
      <c r="S19" s="52">
        <f t="shared" si="71"/>
        <v>1.8851589839994253E-2</v>
      </c>
      <c r="T19" s="52">
        <f t="shared" si="71"/>
        <v>1.8816746465109488E-2</v>
      </c>
      <c r="U19" s="52">
        <f t="shared" si="71"/>
        <v>1.8780100516944249E-2</v>
      </c>
      <c r="V19" s="52">
        <f t="shared" si="71"/>
        <v>1.8741733280738134E-2</v>
      </c>
      <c r="W19" s="52">
        <f t="shared" si="71"/>
        <v>1.8701724046968401E-2</v>
      </c>
      <c r="X19" s="52">
        <f t="shared" si="71"/>
        <v>1.8660150109950365E-2</v>
      </c>
      <c r="Y19" s="52">
        <f t="shared" si="71"/>
        <v>1.861708677033928E-2</v>
      </c>
      <c r="Z19" s="52">
        <f t="shared" si="71"/>
        <v>1.8572607341255529E-2</v>
      </c>
      <c r="AA19" s="52">
        <f t="shared" si="71"/>
        <v>1.852678315777068E-2</v>
      </c>
      <c r="AB19" s="52">
        <f t="shared" si="71"/>
        <v>1.8479683589492445E-2</v>
      </c>
      <c r="AC19" s="52">
        <f t="shared" si="71"/>
        <v>1.8431376056003257E-2</v>
      </c>
      <c r="AD19" s="52">
        <f t="shared" si="71"/>
        <v>1.8381926044910433E-2</v>
      </c>
      <c r="AE19" s="52">
        <f t="shared" si="71"/>
        <v>1.8331397132282112E-2</v>
      </c>
      <c r="AF19" s="52">
        <f t="shared" si="71"/>
        <v>1.827985100524606E-2</v>
      </c>
      <c r="AG19" s="52">
        <f t="shared" si="71"/>
        <v>1.8227347486545715E-2</v>
      </c>
      <c r="AH19" s="52">
        <f t="shared" si="71"/>
        <v>1.817394456085147E-2</v>
      </c>
      <c r="AI19" s="52">
        <f t="shared" si="71"/>
        <v>1.8119698402641132E-2</v>
      </c>
      <c r="AJ19" s="52">
        <f t="shared" si="71"/>
        <v>1.8064663405467717E-2</v>
      </c>
      <c r="AK19" s="52">
        <f t="shared" si="71"/>
        <v>1.8008892212448585E-2</v>
      </c>
      <c r="AL19" s="52">
        <f t="shared" si="71"/>
        <v>1.795243574781517E-2</v>
      </c>
      <c r="AM19" s="52">
        <f t="shared" si="71"/>
        <v>1.7895343249371802E-2</v>
      </c>
      <c r="AN19" s="52">
        <f t="shared" si="71"/>
        <v>1.7837662301727366E-2</v>
      </c>
      <c r="AO19" s="52">
        <f t="shared" si="71"/>
        <v>1.7779438870164272E-2</v>
      </c>
      <c r="AP19" s="52">
        <f t="shared" si="71"/>
        <v>1.7720717335022611E-2</v>
      </c>
      <c r="AQ19" s="52">
        <f t="shared" si="71"/>
        <v>1.7661540526488093E-2</v>
      </c>
      <c r="AR19" s="52">
        <f t="shared" si="71"/>
        <v>1.7601949759672695E-2</v>
      </c>
      <c r="AS19" s="52">
        <f t="shared" si="71"/>
        <v>1.7541984869893581E-2</v>
      </c>
      <c r="AT19" s="52">
        <f t="shared" si="71"/>
        <v>1.7481684248056094E-2</v>
      </c>
      <c r="AU19" s="52">
        <f t="shared" si="71"/>
        <v>1.7421084876059811E-2</v>
      </c>
      <c r="AV19" s="52">
        <f t="shared" si="71"/>
        <v>1.7360222362146849E-2</v>
      </c>
      <c r="AW19" s="52">
        <f t="shared" si="71"/>
        <v>1.7299130976125471E-2</v>
      </c>
      <c r="AX19" s="52">
        <f t="shared" si="71"/>
        <v>1.7237843684400671E-2</v>
      </c>
      <c r="AY19" s="52">
        <f t="shared" si="71"/>
        <v>1.7176392184756511E-2</v>
      </c>
      <c r="AZ19" s="52">
        <f t="shared" si="71"/>
        <v>1.7114806940833827E-2</v>
      </c>
      <c r="BA19" s="52">
        <f t="shared" si="71"/>
        <v>1.7053117216257224E-2</v>
      </c>
      <c r="BB19" s="52">
        <f t="shared" si="71"/>
        <v>1.6991351108365353E-2</v>
      </c>
      <c r="BC19" s="52">
        <f t="shared" si="71"/>
        <v>1.6929535581511185E-2</v>
      </c>
      <c r="BD19" s="52">
        <f t="shared" si="71"/>
        <v>1.6867696499890502E-2</v>
      </c>
      <c r="BE19" s="52">
        <f t="shared" si="71"/>
        <v>1.6805858659874079E-2</v>
      </c>
      <c r="BF19" s="52">
        <f t="shared" si="71"/>
        <v>1.6744045821815254E-2</v>
      </c>
      <c r="BG19" s="52">
        <f t="shared" si="71"/>
        <v>1.668228074130796E-2</v>
      </c>
      <c r="BH19" s="52">
        <f t="shared" si="71"/>
        <v>1.6620585199877833E-2</v>
      </c>
      <c r="BI19" s="52">
        <f t="shared" si="71"/>
        <v>1.6558980035088145E-2</v>
      </c>
      <c r="BJ19" s="52">
        <f t="shared" si="71"/>
        <v>1.6497485170047708E-2</v>
      </c>
      <c r="BK19" s="52">
        <f t="shared" si="71"/>
        <v>1.6436119642307595E-2</v>
      </c>
      <c r="BL19" s="52">
        <f t="shared" si="71"/>
        <v>1.6374901632139532E-2</v>
      </c>
      <c r="BM19" s="52">
        <f t="shared" si="71"/>
        <v>1.6313848490188621E-2</v>
      </c>
      <c r="BN19" s="52">
        <f t="shared" si="71"/>
        <v>1.6252976764494241E-2</v>
      </c>
      <c r="BO19" s="52">
        <f t="shared" si="71"/>
        <v>1.6192302209409443E-2</v>
      </c>
      <c r="BP19" s="52">
        <f t="shared" si="71"/>
        <v>1.6131839880088188E-2</v>
      </c>
      <c r="BQ19" s="52">
        <f t="shared" si="71"/>
        <v>1.6071604056155046E-2</v>
      </c>
      <c r="BR19" s="52">
        <f t="shared" si="71"/>
        <v>1.6011608332765968E-2</v>
      </c>
      <c r="BS19" s="52">
        <f t="shared" si="69"/>
        <v>1.5951865628078279E-2</v>
      </c>
      <c r="BT19" s="52">
        <f t="shared" si="69"/>
        <v>1.5892388206483157E-2</v>
      </c>
      <c r="BU19" s="52">
        <f t="shared" si="69"/>
        <v>1.5833187701218939E-2</v>
      </c>
      <c r="BV19" s="52">
        <f t="shared" si="69"/>
        <v>1.5774275136371214E-2</v>
      </c>
      <c r="BW19" s="52">
        <f t="shared" si="69"/>
        <v>1.5715660948265837E-2</v>
      </c>
      <c r="BX19" s="52">
        <f t="shared" si="69"/>
        <v>1.5657355006263921E-2</v>
      </c>
      <c r="BY19" s="52">
        <f t="shared" si="69"/>
        <v>1.5599366632967626E-2</v>
      </c>
      <c r="BZ19" s="52">
        <f t="shared" si="69"/>
        <v>1.5541704623842613E-2</v>
      </c>
      <c r="CA19" s="52">
        <f t="shared" si="69"/>
        <v>1.5484377266272265E-2</v>
      </c>
      <c r="CB19" s="52">
        <f t="shared" si="69"/>
        <v>1.5427392358048783E-2</v>
      </c>
      <c r="CC19" s="52">
        <f t="shared" si="69"/>
        <v>1.5370757225312103E-2</v>
      </c>
      <c r="CD19" s="52">
        <f t="shared" si="69"/>
        <v>1.5314478739951103E-2</v>
      </c>
      <c r="CE19" s="52">
        <f t="shared" si="69"/>
        <v>1.5258563336474429E-2</v>
      </c>
      <c r="CF19" s="52">
        <f t="shared" si="69"/>
        <v>1.5203017028360889E-2</v>
      </c>
      <c r="CG19" s="52">
        <f t="shared" si="69"/>
        <v>1.5147845423906349E-2</v>
      </c>
      <c r="CH19" s="52">
        <f t="shared" si="69"/>
        <v>1.5093053741572108E-2</v>
      </c>
      <c r="CI19" s="52">
        <f t="shared" si="69"/>
        <v>1.5038646824850456E-2</v>
      </c>
      <c r="CJ19" s="52">
        <f t="shared" si="69"/>
        <v>1.4984629156657867E-2</v>
      </c>
      <c r="CK19" s="52">
        <f t="shared" si="69"/>
        <v>1.4931004873264672E-2</v>
      </c>
      <c r="CL19" s="52">
        <f t="shared" si="69"/>
        <v>1.4877777777778316E-2</v>
      </c>
      <c r="CM19" s="52">
        <f t="shared" si="69"/>
        <v>1.4877777777778316E-2</v>
      </c>
      <c r="CN19" s="52">
        <f t="shared" si="69"/>
        <v>1.4877777777778316E-2</v>
      </c>
      <c r="CO19" s="52">
        <f t="shared" si="69"/>
        <v>1.4877777777778316E-2</v>
      </c>
      <c r="CP19" s="52">
        <f t="shared" si="69"/>
        <v>1.4877777777778316E-2</v>
      </c>
      <c r="CQ19" s="52">
        <f t="shared" si="69"/>
        <v>1.4877777777778316E-2</v>
      </c>
      <c r="CR19" s="52">
        <f t="shared" si="69"/>
        <v>1.4877777777778316E-2</v>
      </c>
      <c r="CS19" s="52">
        <f t="shared" si="69"/>
        <v>1.4877777777778316E-2</v>
      </c>
      <c r="CT19" s="52">
        <f t="shared" si="69"/>
        <v>1.4877777777778316E-2</v>
      </c>
      <c r="CU19" s="52">
        <f t="shared" si="69"/>
        <v>1.4877777777778316E-2</v>
      </c>
      <c r="CV19" s="52">
        <f t="shared" si="69"/>
        <v>1.4877777777778316E-2</v>
      </c>
      <c r="CW19" s="52">
        <f t="shared" si="69"/>
        <v>1.4877777777778316E-2</v>
      </c>
      <c r="CX19" s="52">
        <f t="shared" si="69"/>
        <v>1.4877777777778316E-2</v>
      </c>
      <c r="CY19" s="142">
        <f t="shared" si="68"/>
        <v>1.4877777777778316E-2</v>
      </c>
      <c r="CZ19" s="142">
        <f t="shared" si="68"/>
        <v>1.4877777777778316E-2</v>
      </c>
      <c r="DA19" s="142">
        <f t="shared" si="68"/>
        <v>1.4877777777778316E-2</v>
      </c>
      <c r="DB19" s="142">
        <f t="shared" si="68"/>
        <v>1.4877777777778316E-2</v>
      </c>
      <c r="DC19" s="142">
        <f t="shared" si="68"/>
        <v>1.4877777777778316E-2</v>
      </c>
      <c r="DD19" s="142">
        <f t="shared" si="68"/>
        <v>1.4877777777778316E-2</v>
      </c>
      <c r="DE19" s="142">
        <f t="shared" si="68"/>
        <v>1.4877777777778316E-2</v>
      </c>
      <c r="DF19" s="142">
        <f t="shared" si="68"/>
        <v>1.4877777777778316E-2</v>
      </c>
      <c r="DG19" s="142">
        <f t="shared" si="68"/>
        <v>1.4877777777778316E-2</v>
      </c>
      <c r="DH19" s="142">
        <f t="shared" si="68"/>
        <v>1.4877777777778316E-2</v>
      </c>
      <c r="DI19" s="142">
        <f t="shared" si="68"/>
        <v>1.4877777777778316E-2</v>
      </c>
      <c r="DJ19" s="142">
        <f t="shared" si="68"/>
        <v>1.4877777777778316E-2</v>
      </c>
      <c r="DK19" s="142">
        <f t="shared" si="68"/>
        <v>1.4877777777778316E-2</v>
      </c>
      <c r="DL19" s="142">
        <f t="shared" si="68"/>
        <v>1.4877777777778316E-2</v>
      </c>
      <c r="DM19" s="142">
        <f t="shared" si="68"/>
        <v>1.4877777777778316E-2</v>
      </c>
      <c r="DN19" s="142">
        <f t="shared" si="68"/>
        <v>1.4877777777778316E-2</v>
      </c>
      <c r="DO19" s="142">
        <f t="shared" si="68"/>
        <v>1.4877777777778316E-2</v>
      </c>
      <c r="DP19" s="142">
        <f t="shared" si="68"/>
        <v>1.4877777777778316E-2</v>
      </c>
      <c r="DQ19" s="142">
        <f t="shared" si="68"/>
        <v>1.4877777777778316E-2</v>
      </c>
      <c r="DR19" s="142">
        <f t="shared" si="68"/>
        <v>1.4877777777778316E-2</v>
      </c>
      <c r="DS19" s="142">
        <f t="shared" si="68"/>
        <v>1.4877777777778316E-2</v>
      </c>
      <c r="DT19" s="142">
        <f t="shared" si="68"/>
        <v>1.4877777777778316E-2</v>
      </c>
      <c r="DU19" s="142">
        <f t="shared" si="68"/>
        <v>1.4877777777778316E-2</v>
      </c>
      <c r="DV19" s="142">
        <f t="shared" si="68"/>
        <v>1.4877777777778316E-2</v>
      </c>
      <c r="DW19" s="48">
        <f t="shared" si="66"/>
        <v>1.4877777777778316E-2</v>
      </c>
      <c r="DX19" s="48">
        <f t="shared" si="66"/>
        <v>1.4877777777778316E-2</v>
      </c>
      <c r="DY19" s="48">
        <f t="shared" si="66"/>
        <v>1.4877777777778316E-2</v>
      </c>
      <c r="DZ19" s="48">
        <f t="shared" si="66"/>
        <v>1.4877777777778316E-2</v>
      </c>
      <c r="EA19" s="48">
        <f t="shared" si="66"/>
        <v>1.4877777777778316E-2</v>
      </c>
      <c r="EB19" s="48">
        <f t="shared" si="66"/>
        <v>1.4877777777778316E-2</v>
      </c>
      <c r="EC19" s="48">
        <f t="shared" si="66"/>
        <v>1.4877777777778316E-2</v>
      </c>
      <c r="ED19" s="48">
        <f t="shared" si="66"/>
        <v>1.4877777777778316E-2</v>
      </c>
      <c r="EE19" s="48">
        <f t="shared" si="66"/>
        <v>1.4877777777778316E-2</v>
      </c>
      <c r="EF19" s="48">
        <f t="shared" si="66"/>
        <v>1.4877777777778316E-2</v>
      </c>
      <c r="EG19" s="48">
        <f t="shared" si="66"/>
        <v>1.4877777777778316E-2</v>
      </c>
      <c r="EH19" s="48">
        <f t="shared" si="66"/>
        <v>1.4877777777778316E-2</v>
      </c>
      <c r="EI19" s="48">
        <f t="shared" si="66"/>
        <v>1.4877777777778316E-2</v>
      </c>
      <c r="EJ19" s="48">
        <f t="shared" si="66"/>
        <v>1.4877777777778316E-2</v>
      </c>
      <c r="EK19" s="48">
        <f t="shared" si="66"/>
        <v>1.4877777777778316E-2</v>
      </c>
      <c r="EL19" s="48">
        <f t="shared" si="66"/>
        <v>1.4877777777778316E-2</v>
      </c>
      <c r="EM19" s="48">
        <f t="shared" si="66"/>
        <v>1.4877777777778316E-2</v>
      </c>
      <c r="EN19" s="48">
        <f t="shared" si="66"/>
        <v>1.4877777777778316E-2</v>
      </c>
      <c r="EO19" s="48">
        <f t="shared" si="66"/>
        <v>1.4877777777778316E-2</v>
      </c>
      <c r="EP19" s="48">
        <f t="shared" si="66"/>
        <v>1.4877777777778316E-2</v>
      </c>
      <c r="EQ19" s="48">
        <f t="shared" si="66"/>
        <v>1.4877777777778316E-2</v>
      </c>
      <c r="ER19" s="48">
        <f t="shared" si="66"/>
        <v>1.4877777777778316E-2</v>
      </c>
      <c r="ES19" s="48">
        <f t="shared" si="66"/>
        <v>1.4877777777778316E-2</v>
      </c>
      <c r="ET19" s="48">
        <f t="shared" si="66"/>
        <v>1.4877777777778316E-2</v>
      </c>
      <c r="FA19" s="47"/>
      <c r="FF19" s="130" t="s">
        <v>139</v>
      </c>
      <c r="FG19" s="12">
        <v>1.8000000000000002E-2</v>
      </c>
      <c r="FH19" s="12">
        <v>120</v>
      </c>
      <c r="FI19" s="12">
        <v>1.66E-2</v>
      </c>
      <c r="FJ19" s="82">
        <v>1.11E-2</v>
      </c>
      <c r="FK19" s="134">
        <f t="shared" si="62"/>
        <v>3.833333333333334E-4</v>
      </c>
      <c r="FL19">
        <f>VLOOKUP(FF19,'SIMULADOR COM SALDO'!$BF$22:$BS$268,13,FALSE)</f>
        <v>1.8000000000000002E-2</v>
      </c>
    </row>
    <row r="20" spans="5:168" ht="18" customHeight="1" x14ac:dyDescent="0.25">
      <c r="E20" s="141"/>
      <c r="F20" s="121">
        <f t="shared" si="63"/>
        <v>1.5299999999999992E-2</v>
      </c>
      <c r="G20" s="52">
        <f t="shared" ref="G20:G29" si="72">IF(G$9&lt;=$K$6,RATE($K$6,1,G47,0),"")</f>
        <v>1.909717745660823E-2</v>
      </c>
      <c r="H20" s="52">
        <f t="shared" si="71"/>
        <v>1.9091628923706555E-2</v>
      </c>
      <c r="I20" s="52">
        <f t="shared" si="71"/>
        <v>1.9083449527774188E-2</v>
      </c>
      <c r="J20" s="52">
        <f t="shared" si="71"/>
        <v>1.9072732901048758E-2</v>
      </c>
      <c r="K20" s="52">
        <f t="shared" si="71"/>
        <v>1.9059571124483098E-2</v>
      </c>
      <c r="L20" s="52">
        <f t="shared" si="71"/>
        <v>1.9044054676387773E-2</v>
      </c>
      <c r="M20" s="52">
        <f t="shared" si="71"/>
        <v>1.9026272387151797E-2</v>
      </c>
      <c r="N20" s="52">
        <f t="shared" si="71"/>
        <v>1.9006311399787663E-2</v>
      </c>
      <c r="O20" s="52">
        <f t="shared" si="71"/>
        <v>1.8984257136037387E-2</v>
      </c>
      <c r="P20" s="52">
        <f t="shared" si="71"/>
        <v>1.8960193267778581E-2</v>
      </c>
      <c r="Q20" s="52">
        <f t="shared" si="71"/>
        <v>1.8934201693463416E-2</v>
      </c>
      <c r="R20" s="52">
        <f t="shared" si="71"/>
        <v>1.8906362519329079E-2</v>
      </c>
      <c r="S20" s="52">
        <f t="shared" si="71"/>
        <v>1.8876754045114949E-2</v>
      </c>
      <c r="T20" s="52">
        <f t="shared" si="71"/>
        <v>1.884545275402871E-2</v>
      </c>
      <c r="U20" s="52">
        <f t="shared" si="71"/>
        <v>1.8812533306704279E-2</v>
      </c>
      <c r="V20" s="52">
        <f t="shared" si="71"/>
        <v>1.8778068538902015E-2</v>
      </c>
      <c r="W20" s="52">
        <f t="shared" si="71"/>
        <v>1.8742129462704909E-2</v>
      </c>
      <c r="X20" s="52">
        <f t="shared" si="71"/>
        <v>1.8704785270971854E-2</v>
      </c>
      <c r="Y20" s="52">
        <f t="shared" si="71"/>
        <v>1.8666103344816887E-2</v>
      </c>
      <c r="Z20" s="52">
        <f t="shared" si="71"/>
        <v>1.8626149263888069E-2</v>
      </c>
      <c r="AA20" s="52">
        <f t="shared" si="71"/>
        <v>1.8584986819230542E-2</v>
      </c>
      <c r="AB20" s="52">
        <f t="shared" si="71"/>
        <v>1.8542678028523635E-2</v>
      </c>
      <c r="AC20" s="52">
        <f t="shared" si="71"/>
        <v>1.8499283153490677E-2</v>
      </c>
      <c r="AD20" s="52">
        <f t="shared" si="71"/>
        <v>1.845486071929205E-2</v>
      </c>
      <c r="AE20" s="52">
        <f t="shared" si="71"/>
        <v>1.8409467535713781E-2</v>
      </c>
      <c r="AF20" s="52">
        <f t="shared" si="71"/>
        <v>1.8363158719980323E-2</v>
      </c>
      <c r="AG20" s="52">
        <f t="shared" si="71"/>
        <v>1.8315987721020933E-2</v>
      </c>
      <c r="AH20" s="52">
        <f t="shared" si="71"/>
        <v>1.8268006345035729E-2</v>
      </c>
      <c r="AI20" s="52">
        <f t="shared" si="71"/>
        <v>1.8219264782208217E-2</v>
      </c>
      <c r="AJ20" s="52">
        <f t="shared" si="71"/>
        <v>1.8169811634423928E-2</v>
      </c>
      <c r="AK20" s="52">
        <f t="shared" si="71"/>
        <v>1.8119693943863265E-2</v>
      </c>
      <c r="AL20" s="52">
        <f t="shared" si="71"/>
        <v>1.8068957222341326E-2</v>
      </c>
      <c r="AM20" s="52">
        <f t="shared" si="71"/>
        <v>1.8017645481277419E-2</v>
      </c>
      <c r="AN20" s="52">
        <f t="shared" si="71"/>
        <v>1.7965801262183872E-2</v>
      </c>
      <c r="AO20" s="52">
        <f t="shared" si="71"/>
        <v>1.7913465667573528E-2</v>
      </c>
      <c r="AP20" s="52">
        <f t="shared" si="71"/>
        <v>1.7860678392185712E-2</v>
      </c>
      <c r="AQ20" s="52">
        <f t="shared" si="71"/>
        <v>1.7807477754445696E-2</v>
      </c>
      <c r="AR20" s="52">
        <f t="shared" si="71"/>
        <v>1.7753900728070905E-2</v>
      </c>
      <c r="AS20" s="52">
        <f t="shared" si="71"/>
        <v>1.7699982973752849E-2</v>
      </c>
      <c r="AT20" s="52">
        <f t="shared" si="71"/>
        <v>1.764575887083674E-2</v>
      </c>
      <c r="AU20" s="52">
        <f t="shared" si="71"/>
        <v>1.7591261548941348E-2</v>
      </c>
      <c r="AV20" s="52">
        <f t="shared" si="71"/>
        <v>1.7536522919453942E-2</v>
      </c>
      <c r="AW20" s="52">
        <f t="shared" si="71"/>
        <v>1.7481573706848219E-2</v>
      </c>
      <c r="AX20" s="52">
        <f t="shared" si="71"/>
        <v>1.7426443479776461E-2</v>
      </c>
      <c r="AY20" s="52">
        <f t="shared" si="71"/>
        <v>1.7371160681887189E-2</v>
      </c>
      <c r="AZ20" s="52">
        <f t="shared" si="71"/>
        <v>1.7315752662332866E-2</v>
      </c>
      <c r="BA20" s="52">
        <f t="shared" si="71"/>
        <v>1.7260245705925759E-2</v>
      </c>
      <c r="BB20" s="52">
        <f t="shared" si="71"/>
        <v>1.7204665062912516E-2</v>
      </c>
      <c r="BC20" s="52">
        <f t="shared" si="71"/>
        <v>1.7149034978336405E-2</v>
      </c>
      <c r="BD20" s="52">
        <f t="shared" si="71"/>
        <v>1.7093378720962619E-2</v>
      </c>
      <c r="BE20" s="52">
        <f t="shared" si="71"/>
        <v>1.7037718611743122E-2</v>
      </c>
      <c r="BF20" s="52">
        <f t="shared" si="71"/>
        <v>1.6982076051801145E-2</v>
      </c>
      <c r="BG20" s="52">
        <f t="shared" si="71"/>
        <v>1.6926471549918366E-2</v>
      </c>
      <c r="BH20" s="52">
        <f t="shared" si="71"/>
        <v>1.6870924749510886E-2</v>
      </c>
      <c r="BI20" s="52">
        <f t="shared" si="71"/>
        <v>1.6815454455081303E-2</v>
      </c>
      <c r="BJ20" s="52">
        <f t="shared" si="71"/>
        <v>1.6760078658137004E-2</v>
      </c>
      <c r="BK20" s="52">
        <f t="shared" si="71"/>
        <v>1.6704814562566339E-2</v>
      </c>
      <c r="BL20" s="52">
        <f t="shared" si="71"/>
        <v>1.6649678609469202E-2</v>
      </c>
      <c r="BM20" s="52">
        <f t="shared" si="71"/>
        <v>1.659468650143265E-2</v>
      </c>
      <c r="BN20" s="52">
        <f t="shared" si="71"/>
        <v>1.6539853226254488E-2</v>
      </c>
      <c r="BO20" s="52">
        <f t="shared" si="71"/>
        <v>1.6485193080110174E-2</v>
      </c>
      <c r="BP20" s="52">
        <f t="shared" si="71"/>
        <v>1.6430719690164044E-2</v>
      </c>
      <c r="BQ20" s="52">
        <f t="shared" si="71"/>
        <v>1.6376446036626E-2</v>
      </c>
      <c r="BR20" s="52">
        <f t="shared" si="71"/>
        <v>1.6322384474256275E-2</v>
      </c>
      <c r="BS20" s="52">
        <f t="shared" si="69"/>
        <v>1.6268546753322056E-2</v>
      </c>
      <c r="BT20" s="52">
        <f t="shared" si="69"/>
        <v>1.6214944040009574E-2</v>
      </c>
      <c r="BU20" s="52">
        <f t="shared" si="69"/>
        <v>1.6161586918254083E-2</v>
      </c>
      <c r="BV20" s="52">
        <f t="shared" si="69"/>
        <v>1.610848548021827E-2</v>
      </c>
      <c r="BW20" s="52">
        <f t="shared" si="69"/>
        <v>1.6055649239896788E-2</v>
      </c>
      <c r="BX20" s="52">
        <f t="shared" si="69"/>
        <v>1.6003087220580716E-2</v>
      </c>
      <c r="BY20" s="52">
        <f t="shared" si="69"/>
        <v>1.5950807955581271E-2</v>
      </c>
      <c r="BZ20" s="52">
        <f t="shared" si="69"/>
        <v>1.5898819505506086E-2</v>
      </c>
      <c r="CA20" s="52">
        <f t="shared" si="69"/>
        <v>1.5847129475041657E-2</v>
      </c>
      <c r="CB20" s="52">
        <f t="shared" si="69"/>
        <v>1.579574502924826E-2</v>
      </c>
      <c r="CC20" s="52">
        <f t="shared" si="69"/>
        <v>1.5744672909376995E-2</v>
      </c>
      <c r="CD20" s="52">
        <f t="shared" si="69"/>
        <v>1.5693919448217134E-2</v>
      </c>
      <c r="CE20" s="52">
        <f t="shared" si="69"/>
        <v>1.5643490584987752E-2</v>
      </c>
      <c r="CF20" s="52">
        <f t="shared" si="69"/>
        <v>1.5593391879775246E-2</v>
      </c>
      <c r="CG20" s="52">
        <f t="shared" si="69"/>
        <v>1.5543628527534875E-2</v>
      </c>
      <c r="CH20" s="52">
        <f t="shared" si="69"/>
        <v>1.5494205371659827E-2</v>
      </c>
      <c r="CI20" s="52">
        <f t="shared" si="69"/>
        <v>1.5445126917131751E-2</v>
      </c>
      <c r="CJ20" s="52">
        <f t="shared" si="69"/>
        <v>1.5396397343259616E-2</v>
      </c>
      <c r="CK20" s="52">
        <f t="shared" si="69"/>
        <v>1.5348020516018985E-2</v>
      </c>
      <c r="CL20" s="52">
        <f t="shared" si="69"/>
        <v>1.5300000000000114E-2</v>
      </c>
      <c r="CM20" s="52">
        <f t="shared" si="69"/>
        <v>1.5300000000000114E-2</v>
      </c>
      <c r="CN20" s="52">
        <f t="shared" si="69"/>
        <v>1.5300000000000114E-2</v>
      </c>
      <c r="CO20" s="52">
        <f t="shared" si="69"/>
        <v>1.5300000000000114E-2</v>
      </c>
      <c r="CP20" s="52">
        <f t="shared" si="69"/>
        <v>1.5300000000000114E-2</v>
      </c>
      <c r="CQ20" s="52">
        <f t="shared" si="69"/>
        <v>1.5300000000000114E-2</v>
      </c>
      <c r="CR20" s="52">
        <f t="shared" si="69"/>
        <v>1.5300000000000114E-2</v>
      </c>
      <c r="CS20" s="52">
        <f t="shared" si="69"/>
        <v>1.5300000000000114E-2</v>
      </c>
      <c r="CT20" s="52">
        <f t="shared" si="69"/>
        <v>1.5300000000000114E-2</v>
      </c>
      <c r="CU20" s="52">
        <f t="shared" si="69"/>
        <v>1.5300000000000114E-2</v>
      </c>
      <c r="CV20" s="52">
        <f t="shared" si="69"/>
        <v>1.5300000000000114E-2</v>
      </c>
      <c r="CW20" s="52">
        <f t="shared" si="69"/>
        <v>1.5300000000000114E-2</v>
      </c>
      <c r="CX20" s="52">
        <f t="shared" si="69"/>
        <v>1.5300000000000114E-2</v>
      </c>
      <c r="CY20" s="142">
        <f t="shared" si="68"/>
        <v>1.5300000000000114E-2</v>
      </c>
      <c r="CZ20" s="142">
        <f t="shared" si="68"/>
        <v>1.5300000000000114E-2</v>
      </c>
      <c r="DA20" s="142">
        <f t="shared" si="68"/>
        <v>1.5300000000000114E-2</v>
      </c>
      <c r="DB20" s="142">
        <f t="shared" si="68"/>
        <v>1.5300000000000114E-2</v>
      </c>
      <c r="DC20" s="142">
        <f t="shared" si="68"/>
        <v>1.5300000000000114E-2</v>
      </c>
      <c r="DD20" s="142">
        <f t="shared" si="68"/>
        <v>1.5300000000000114E-2</v>
      </c>
      <c r="DE20" s="142">
        <f t="shared" si="68"/>
        <v>1.5300000000000114E-2</v>
      </c>
      <c r="DF20" s="142">
        <f t="shared" si="68"/>
        <v>1.5300000000000114E-2</v>
      </c>
      <c r="DG20" s="142">
        <f t="shared" si="68"/>
        <v>1.5300000000000114E-2</v>
      </c>
      <c r="DH20" s="142">
        <f t="shared" si="68"/>
        <v>1.5300000000000114E-2</v>
      </c>
      <c r="DI20" s="142">
        <f t="shared" si="68"/>
        <v>1.5300000000000114E-2</v>
      </c>
      <c r="DJ20" s="142">
        <f t="shared" si="68"/>
        <v>1.5300000000000114E-2</v>
      </c>
      <c r="DK20" s="142">
        <f t="shared" si="68"/>
        <v>1.5300000000000114E-2</v>
      </c>
      <c r="DL20" s="142">
        <f t="shared" si="68"/>
        <v>1.5300000000000114E-2</v>
      </c>
      <c r="DM20" s="142">
        <f t="shared" si="68"/>
        <v>1.5300000000000114E-2</v>
      </c>
      <c r="DN20" s="142">
        <f t="shared" si="68"/>
        <v>1.5300000000000114E-2</v>
      </c>
      <c r="DO20" s="142">
        <f t="shared" si="68"/>
        <v>1.5300000000000114E-2</v>
      </c>
      <c r="DP20" s="142">
        <f t="shared" si="68"/>
        <v>1.5300000000000114E-2</v>
      </c>
      <c r="DQ20" s="142">
        <f t="shared" si="68"/>
        <v>1.5300000000000114E-2</v>
      </c>
      <c r="DR20" s="142">
        <f t="shared" si="68"/>
        <v>1.5300000000000114E-2</v>
      </c>
      <c r="DS20" s="142">
        <f t="shared" si="68"/>
        <v>1.5300000000000114E-2</v>
      </c>
      <c r="DT20" s="142">
        <f t="shared" si="68"/>
        <v>1.5300000000000114E-2</v>
      </c>
      <c r="DU20" s="142">
        <f t="shared" si="68"/>
        <v>1.5300000000000114E-2</v>
      </c>
      <c r="DV20" s="142">
        <f t="shared" si="68"/>
        <v>1.5300000000000114E-2</v>
      </c>
      <c r="DW20" s="48">
        <f t="shared" si="66"/>
        <v>1.5300000000000114E-2</v>
      </c>
      <c r="DX20" s="48">
        <f t="shared" si="66"/>
        <v>1.5300000000000114E-2</v>
      </c>
      <c r="DY20" s="48">
        <f t="shared" si="66"/>
        <v>1.5300000000000114E-2</v>
      </c>
      <c r="DZ20" s="48">
        <f t="shared" si="66"/>
        <v>1.5300000000000114E-2</v>
      </c>
      <c r="EA20" s="48">
        <f t="shared" si="66"/>
        <v>1.5300000000000114E-2</v>
      </c>
      <c r="EB20" s="48">
        <f t="shared" si="66"/>
        <v>1.5300000000000114E-2</v>
      </c>
      <c r="EC20" s="48">
        <f t="shared" si="66"/>
        <v>1.5300000000000114E-2</v>
      </c>
      <c r="ED20" s="48">
        <f t="shared" si="66"/>
        <v>1.5300000000000114E-2</v>
      </c>
      <c r="EE20" s="48">
        <f t="shared" si="66"/>
        <v>1.5300000000000114E-2</v>
      </c>
      <c r="EF20" s="48">
        <f t="shared" si="66"/>
        <v>1.5300000000000114E-2</v>
      </c>
      <c r="EG20" s="48">
        <f t="shared" si="66"/>
        <v>1.5300000000000114E-2</v>
      </c>
      <c r="EH20" s="48">
        <f t="shared" si="66"/>
        <v>1.5300000000000114E-2</v>
      </c>
      <c r="EI20" s="48">
        <f t="shared" si="66"/>
        <v>1.5300000000000114E-2</v>
      </c>
      <c r="EJ20" s="48">
        <f t="shared" si="66"/>
        <v>1.5300000000000114E-2</v>
      </c>
      <c r="EK20" s="48">
        <f t="shared" si="66"/>
        <v>1.5300000000000114E-2</v>
      </c>
      <c r="EL20" s="48">
        <f t="shared" si="66"/>
        <v>1.5300000000000114E-2</v>
      </c>
      <c r="EM20" s="48">
        <f t="shared" si="66"/>
        <v>1.5300000000000114E-2</v>
      </c>
      <c r="EN20" s="48">
        <f t="shared" si="66"/>
        <v>1.5300000000000114E-2</v>
      </c>
      <c r="EO20" s="48">
        <f t="shared" si="66"/>
        <v>1.5300000000000114E-2</v>
      </c>
      <c r="EP20" s="48">
        <f t="shared" si="66"/>
        <v>1.5300000000000114E-2</v>
      </c>
      <c r="EQ20" s="48">
        <f t="shared" si="66"/>
        <v>1.5300000000000114E-2</v>
      </c>
      <c r="ER20" s="48">
        <f t="shared" si="66"/>
        <v>1.5300000000000114E-2</v>
      </c>
      <c r="ES20" s="48">
        <f t="shared" si="66"/>
        <v>1.5300000000000114E-2</v>
      </c>
      <c r="ET20" s="48">
        <f t="shared" si="66"/>
        <v>1.5300000000000114E-2</v>
      </c>
      <c r="FA20" s="47"/>
      <c r="FF20" s="130" t="s">
        <v>142</v>
      </c>
      <c r="FG20" s="12">
        <v>2.12E-2</v>
      </c>
      <c r="FH20" s="12">
        <v>96</v>
      </c>
      <c r="FI20" s="12">
        <v>2.12E-2</v>
      </c>
      <c r="FJ20" s="82">
        <v>1.8700000000000001E-2</v>
      </c>
      <c r="FK20" s="134">
        <f t="shared" si="62"/>
        <v>1.3888888888888881E-4</v>
      </c>
      <c r="FL20">
        <f>VLOOKUP(FF20,'SIMULADOR COM SALDO'!$BF$22:$BS$268,13,FALSE)</f>
        <v>2.12E-2</v>
      </c>
    </row>
    <row r="21" spans="5:168" ht="18" customHeight="1" x14ac:dyDescent="0.25">
      <c r="E21" s="141"/>
      <c r="F21" s="121">
        <f t="shared" si="63"/>
        <v>1.5722222222222214E-2</v>
      </c>
      <c r="G21" s="52">
        <f t="shared" si="72"/>
        <v>1.9097492096500971E-2</v>
      </c>
      <c r="H21" s="52">
        <f t="shared" si="71"/>
        <v>1.9092562995496335E-2</v>
      </c>
      <c r="I21" s="52">
        <f t="shared" si="71"/>
        <v>1.9085297983950002E-2</v>
      </c>
      <c r="J21" s="52">
        <f t="shared" si="71"/>
        <v>1.9075780882818576E-2</v>
      </c>
      <c r="K21" s="52">
        <f t="shared" si="71"/>
        <v>1.9064094008546698E-2</v>
      </c>
      <c r="L21" s="52">
        <f t="shared" si="71"/>
        <v>1.9050318138942902E-2</v>
      </c>
      <c r="M21" s="52">
        <f t="shared" si="71"/>
        <v>1.9034532483859178E-2</v>
      </c>
      <c r="N21" s="52">
        <f t="shared" si="71"/>
        <v>1.9016814660446427E-2</v>
      </c>
      <c r="O21" s="52">
        <f t="shared" si="71"/>
        <v>1.8997240672761272E-2</v>
      </c>
      <c r="P21" s="52">
        <f t="shared" si="71"/>
        <v>1.8975884895498819E-2</v>
      </c>
      <c r="Q21" s="52">
        <f t="shared" si="71"/>
        <v>1.8952820061625741E-2</v>
      </c>
      <c r="R21" s="52">
        <f t="shared" si="71"/>
        <v>1.8928117253692867E-2</v>
      </c>
      <c r="S21" s="52">
        <f t="shared" si="71"/>
        <v>1.8901845898611255E-2</v>
      </c>
      <c r="T21" s="52">
        <f t="shared" si="71"/>
        <v>1.8874073765674061E-2</v>
      </c>
      <c r="U21" s="52">
        <f t="shared" si="71"/>
        <v>1.8844866967619545E-2</v>
      </c>
      <c r="V21" s="52">
        <f t="shared" si="71"/>
        <v>1.8814289964525683E-2</v>
      </c>
      <c r="W21" s="52">
        <f t="shared" si="71"/>
        <v>1.878240557034597E-2</v>
      </c>
      <c r="X21" s="52">
        <f t="shared" si="71"/>
        <v>1.874927496188639E-2</v>
      </c>
      <c r="Y21" s="52">
        <f t="shared" si="71"/>
        <v>1.8714957690044678E-2</v>
      </c>
      <c r="Z21" s="52">
        <f t="shared" si="71"/>
        <v>1.8679511693128859E-2</v>
      </c>
      <c r="AA21" s="52">
        <f t="shared" si="71"/>
        <v>1.8642993312086287E-2</v>
      </c>
      <c r="AB21" s="52">
        <f t="shared" si="71"/>
        <v>1.8605457307476935E-2</v>
      </c>
      <c r="AC21" s="52">
        <f t="shared" si="71"/>
        <v>1.8566956878033052E-2</v>
      </c>
      <c r="AD21" s="52">
        <f t="shared" si="71"/>
        <v>1.8527543680656282E-2</v>
      </c>
      <c r="AE21" s="52">
        <f t="shared" si="71"/>
        <v>1.8487267851707945E-2</v>
      </c>
      <c r="AF21" s="52">
        <f t="shared" si="71"/>
        <v>1.8446178029457003E-2</v>
      </c>
      <c r="AG21" s="52">
        <f t="shared" si="71"/>
        <v>1.8404321377555183E-2</v>
      </c>
      <c r="AH21" s="52">
        <f t="shared" si="71"/>
        <v>1.8361743609420254E-2</v>
      </c>
      <c r="AI21" s="52">
        <f t="shared" si="71"/>
        <v>1.8318489013408077E-2</v>
      </c>
      <c r="AJ21" s="52">
        <f t="shared" si="71"/>
        <v>1.827460047866868E-2</v>
      </c>
      <c r="AK21" s="52">
        <f t="shared" si="71"/>
        <v>1.8230119521580723E-2</v>
      </c>
      <c r="AL21" s="52">
        <f t="shared" si="71"/>
        <v>1.8185086312672554E-2</v>
      </c>
      <c r="AM21" s="52">
        <f t="shared" si="71"/>
        <v>1.8139539703935028E-2</v>
      </c>
      <c r="AN21" s="52">
        <f t="shared" si="71"/>
        <v>1.8093517256447731E-2</v>
      </c>
      <c r="AO21" s="52">
        <f t="shared" si="71"/>
        <v>1.8047055268236252E-2</v>
      </c>
      <c r="AP21" s="52">
        <f t="shared" si="71"/>
        <v>1.8000188802290075E-2</v>
      </c>
      <c r="AQ21" s="52">
        <f t="shared" si="71"/>
        <v>1.7952951714673055E-2</v>
      </c>
      <c r="AR21" s="52">
        <f t="shared" si="71"/>
        <v>1.790537668266446E-2</v>
      </c>
      <c r="AS21" s="52">
        <f t="shared" si="71"/>
        <v>1.7857495232872535E-2</v>
      </c>
      <c r="AT21" s="52">
        <f t="shared" si="71"/>
        <v>1.7809337769267949E-2</v>
      </c>
      <c r="AU21" s="52">
        <f t="shared" si="71"/>
        <v>1.7760933601089456E-2</v>
      </c>
      <c r="AV21" s="52">
        <f t="shared" si="71"/>
        <v>1.7712310970575216E-2</v>
      </c>
      <c r="AW21" s="52">
        <f t="shared" si="71"/>
        <v>1.7663497080480862E-2</v>
      </c>
      <c r="AX21" s="52">
        <f t="shared" si="71"/>
        <v>1.7614518121347657E-2</v>
      </c>
      <c r="AY21" s="52">
        <f t="shared" si="71"/>
        <v>1.7565399298487317E-2</v>
      </c>
      <c r="AZ21" s="52">
        <f t="shared" si="71"/>
        <v>1.7516164858651366E-2</v>
      </c>
      <c r="BA21" s="52">
        <f t="shared" si="71"/>
        <v>1.7466838116361984E-2</v>
      </c>
      <c r="BB21" s="52">
        <f t="shared" si="71"/>
        <v>1.7417441479877616E-2</v>
      </c>
      <c r="BC21" s="52">
        <f t="shared" si="71"/>
        <v>1.7367996476772649E-2</v>
      </c>
      <c r="BD21" s="52">
        <f t="shared" si="71"/>
        <v>1.7318523779113651E-2</v>
      </c>
      <c r="BE21" s="52">
        <f t="shared" si="71"/>
        <v>1.7269043228214546E-2</v>
      </c>
      <c r="BF21" s="52">
        <f t="shared" si="71"/>
        <v>1.7219573858957605E-2</v>
      </c>
      <c r="BG21" s="52">
        <f t="shared" si="71"/>
        <v>1.7170133923668889E-2</v>
      </c>
      <c r="BH21" s="52">
        <f t="shared" si="71"/>
        <v>1.7120740915535854E-2</v>
      </c>
      <c r="BI21" s="52">
        <f t="shared" si="71"/>
        <v>1.707141159156211E-2</v>
      </c>
      <c r="BJ21" s="52">
        <f t="shared" si="71"/>
        <v>1.7022161995051303E-2</v>
      </c>
      <c r="BK21" s="52">
        <f t="shared" si="71"/>
        <v>1.6973007477614026E-2</v>
      </c>
      <c r="BL21" s="52">
        <f t="shared" si="71"/>
        <v>1.6923962720697315E-2</v>
      </c>
      <c r="BM21" s="52">
        <f t="shared" si="71"/>
        <v>1.687504175663132E-2</v>
      </c>
      <c r="BN21" s="52">
        <f t="shared" si="71"/>
        <v>1.6826257989194078E-2</v>
      </c>
      <c r="BO21" s="52">
        <f t="shared" si="71"/>
        <v>1.6777624213693998E-2</v>
      </c>
      <c r="BP21" s="52">
        <f t="shared" si="71"/>
        <v>1.672915263657223E-2</v>
      </c>
      <c r="BQ21" s="52">
        <f t="shared" si="71"/>
        <v>1.6680854894522937E-2</v>
      </c>
      <c r="BR21" s="52">
        <f t="shared" si="71"/>
        <v>1.6632742073141929E-2</v>
      </c>
      <c r="BS21" s="52">
        <f t="shared" si="69"/>
        <v>1.6584824725097425E-2</v>
      </c>
      <c r="BT21" s="52">
        <f t="shared" si="69"/>
        <v>1.6537112887837317E-2</v>
      </c>
      <c r="BU21" s="52">
        <f t="shared" si="69"/>
        <v>1.6489616100829371E-2</v>
      </c>
      <c r="BV21" s="52">
        <f t="shared" si="69"/>
        <v>1.6442343422345525E-2</v>
      </c>
      <c r="BW21" s="52">
        <f t="shared" si="69"/>
        <v>1.6395303445794079E-2</v>
      </c>
      <c r="BX21" s="52">
        <f t="shared" si="69"/>
        <v>1.6348504315604629E-2</v>
      </c>
      <c r="BY21" s="52">
        <f t="shared" si="69"/>
        <v>1.6301953742675859E-2</v>
      </c>
      <c r="BZ21" s="52">
        <f t="shared" si="69"/>
        <v>1.6255659019390578E-2</v>
      </c>
      <c r="CA21" s="52">
        <f t="shared" si="69"/>
        <v>1.6209627034207089E-2</v>
      </c>
      <c r="CB21" s="52">
        <f t="shared" si="69"/>
        <v>1.6163864267832413E-2</v>
      </c>
      <c r="CC21" s="52">
        <f t="shared" si="69"/>
        <v>1.6118376878107094E-2</v>
      </c>
      <c r="CD21" s="52">
        <f t="shared" si="69"/>
        <v>1.6073170607974228E-2</v>
      </c>
      <c r="CE21" s="52">
        <f t="shared" si="69"/>
        <v>1.602825086787904E-2</v>
      </c>
      <c r="CF21" s="52">
        <f t="shared" si="69"/>
        <v>1.5983622731201002E-2</v>
      </c>
      <c r="CG21" s="52">
        <f t="shared" si="69"/>
        <v>1.5939290946462639E-2</v>
      </c>
      <c r="CH21" s="52">
        <f t="shared" si="69"/>
        <v>1.5895259949170279E-2</v>
      </c>
      <c r="CI21" s="52">
        <f t="shared" si="69"/>
        <v>1.5851533873296533E-2</v>
      </c>
      <c r="CJ21" s="52">
        <f t="shared" si="69"/>
        <v>1.5808116562408804E-2</v>
      </c>
      <c r="CK21" s="52">
        <f t="shared" si="69"/>
        <v>1.5765011580456519E-2</v>
      </c>
      <c r="CL21" s="52">
        <f t="shared" si="69"/>
        <v>1.5722222222222509E-2</v>
      </c>
      <c r="CM21" s="52">
        <f t="shared" si="69"/>
        <v>1.5722222222222509E-2</v>
      </c>
      <c r="CN21" s="52">
        <f t="shared" si="69"/>
        <v>1.5722222222222509E-2</v>
      </c>
      <c r="CO21" s="52">
        <f t="shared" si="69"/>
        <v>1.5722222222222509E-2</v>
      </c>
      <c r="CP21" s="52">
        <f t="shared" si="69"/>
        <v>1.5722222222222509E-2</v>
      </c>
      <c r="CQ21" s="52">
        <f t="shared" si="69"/>
        <v>1.5722222222222509E-2</v>
      </c>
      <c r="CR21" s="52">
        <f t="shared" si="69"/>
        <v>1.5722222222222509E-2</v>
      </c>
      <c r="CS21" s="52">
        <f t="shared" si="69"/>
        <v>1.5722222222222509E-2</v>
      </c>
      <c r="CT21" s="52">
        <f t="shared" si="69"/>
        <v>1.5722222222222509E-2</v>
      </c>
      <c r="CU21" s="52">
        <f t="shared" si="69"/>
        <v>1.5722222222222509E-2</v>
      </c>
      <c r="CV21" s="52">
        <f t="shared" si="69"/>
        <v>1.5722222222222509E-2</v>
      </c>
      <c r="CW21" s="52">
        <f t="shared" si="69"/>
        <v>1.5722222222222509E-2</v>
      </c>
      <c r="CX21" s="52">
        <f t="shared" si="69"/>
        <v>1.5722222222222509E-2</v>
      </c>
      <c r="CY21" s="142">
        <f t="shared" si="68"/>
        <v>1.5722222222222509E-2</v>
      </c>
      <c r="CZ21" s="142">
        <f t="shared" si="68"/>
        <v>1.5722222222222509E-2</v>
      </c>
      <c r="DA21" s="142">
        <f t="shared" si="68"/>
        <v>1.5722222222222509E-2</v>
      </c>
      <c r="DB21" s="142">
        <f t="shared" si="68"/>
        <v>1.5722222222222509E-2</v>
      </c>
      <c r="DC21" s="142">
        <f t="shared" si="68"/>
        <v>1.5722222222222509E-2</v>
      </c>
      <c r="DD21" s="142">
        <f t="shared" si="68"/>
        <v>1.5722222222222509E-2</v>
      </c>
      <c r="DE21" s="142">
        <f t="shared" si="68"/>
        <v>1.5722222222222509E-2</v>
      </c>
      <c r="DF21" s="142">
        <f t="shared" si="68"/>
        <v>1.5722222222222509E-2</v>
      </c>
      <c r="DG21" s="142">
        <f t="shared" si="68"/>
        <v>1.5722222222222509E-2</v>
      </c>
      <c r="DH21" s="142">
        <f t="shared" si="68"/>
        <v>1.5722222222222509E-2</v>
      </c>
      <c r="DI21" s="142">
        <f t="shared" si="68"/>
        <v>1.5722222222222509E-2</v>
      </c>
      <c r="DJ21" s="142">
        <f t="shared" si="68"/>
        <v>1.5722222222222509E-2</v>
      </c>
      <c r="DK21" s="142">
        <f t="shared" si="68"/>
        <v>1.5722222222222509E-2</v>
      </c>
      <c r="DL21" s="142">
        <f t="shared" si="68"/>
        <v>1.5722222222222509E-2</v>
      </c>
      <c r="DM21" s="142">
        <f t="shared" si="68"/>
        <v>1.5722222222222509E-2</v>
      </c>
      <c r="DN21" s="142">
        <f t="shared" si="68"/>
        <v>1.5722222222222509E-2</v>
      </c>
      <c r="DO21" s="142">
        <f t="shared" si="68"/>
        <v>1.5722222222222509E-2</v>
      </c>
      <c r="DP21" s="142">
        <f t="shared" si="68"/>
        <v>1.5722222222222509E-2</v>
      </c>
      <c r="DQ21" s="142">
        <f t="shared" si="68"/>
        <v>1.5722222222222509E-2</v>
      </c>
      <c r="DR21" s="142">
        <f t="shared" si="68"/>
        <v>1.5722222222222509E-2</v>
      </c>
      <c r="DS21" s="142">
        <f t="shared" si="68"/>
        <v>1.5722222222222509E-2</v>
      </c>
      <c r="DT21" s="142">
        <f t="shared" si="68"/>
        <v>1.5722222222222509E-2</v>
      </c>
      <c r="DU21" s="142">
        <f t="shared" si="68"/>
        <v>1.5722222222222509E-2</v>
      </c>
      <c r="DV21" s="142">
        <f t="shared" si="68"/>
        <v>1.5722222222222509E-2</v>
      </c>
      <c r="DW21" s="48">
        <f t="shared" si="66"/>
        <v>1.5722222222222509E-2</v>
      </c>
      <c r="DX21" s="48">
        <f t="shared" si="66"/>
        <v>1.5722222222222509E-2</v>
      </c>
      <c r="DY21" s="48">
        <f t="shared" si="66"/>
        <v>1.5722222222222509E-2</v>
      </c>
      <c r="DZ21" s="48">
        <f t="shared" si="66"/>
        <v>1.5722222222222509E-2</v>
      </c>
      <c r="EA21" s="48">
        <f t="shared" si="66"/>
        <v>1.5722222222222509E-2</v>
      </c>
      <c r="EB21" s="48">
        <f t="shared" si="66"/>
        <v>1.5722222222222509E-2</v>
      </c>
      <c r="EC21" s="48">
        <f t="shared" si="66"/>
        <v>1.5722222222222509E-2</v>
      </c>
      <c r="ED21" s="48">
        <f t="shared" si="66"/>
        <v>1.5722222222222509E-2</v>
      </c>
      <c r="EE21" s="48">
        <f t="shared" si="66"/>
        <v>1.5722222222222509E-2</v>
      </c>
      <c r="EF21" s="48">
        <f t="shared" si="66"/>
        <v>1.5722222222222509E-2</v>
      </c>
      <c r="EG21" s="48">
        <f t="shared" si="66"/>
        <v>1.5722222222222509E-2</v>
      </c>
      <c r="EH21" s="48">
        <f t="shared" si="66"/>
        <v>1.5722222222222509E-2</v>
      </c>
      <c r="EI21" s="48">
        <f t="shared" si="66"/>
        <v>1.5722222222222509E-2</v>
      </c>
      <c r="EJ21" s="48">
        <f t="shared" si="66"/>
        <v>1.5722222222222509E-2</v>
      </c>
      <c r="EK21" s="48">
        <f t="shared" si="66"/>
        <v>1.5722222222222509E-2</v>
      </c>
      <c r="EL21" s="48">
        <f t="shared" si="66"/>
        <v>1.5722222222222509E-2</v>
      </c>
      <c r="EM21" s="48">
        <f t="shared" si="66"/>
        <v>1.5722222222222509E-2</v>
      </c>
      <c r="EN21" s="48">
        <f t="shared" si="66"/>
        <v>1.5722222222222509E-2</v>
      </c>
      <c r="EO21" s="48">
        <f t="shared" si="66"/>
        <v>1.5722222222222509E-2</v>
      </c>
      <c r="EP21" s="48">
        <f t="shared" si="66"/>
        <v>1.5722222222222509E-2</v>
      </c>
      <c r="EQ21" s="48">
        <f t="shared" si="66"/>
        <v>1.5722222222222509E-2</v>
      </c>
      <c r="ER21" s="48">
        <f t="shared" si="66"/>
        <v>1.5722222222222509E-2</v>
      </c>
      <c r="ES21" s="48">
        <f t="shared" si="66"/>
        <v>1.5722222222222509E-2</v>
      </c>
      <c r="ET21" s="48">
        <f t="shared" si="66"/>
        <v>1.5722222222222509E-2</v>
      </c>
      <c r="FA21" s="47"/>
      <c r="FF21" s="130" t="s">
        <v>96</v>
      </c>
      <c r="FG21" s="12">
        <v>2.3E-2</v>
      </c>
      <c r="FH21" s="12">
        <v>120</v>
      </c>
      <c r="FI21" s="12">
        <v>1.9699999999999999E-2</v>
      </c>
      <c r="FJ21" s="82">
        <v>1.7000000000000001E-2</v>
      </c>
      <c r="FK21" s="134">
        <f t="shared" si="62"/>
        <v>3.3333333333333327E-4</v>
      </c>
      <c r="FL21">
        <f>VLOOKUP(FF21,'SIMULADOR COM SALDO'!$BF$22:$BS$268,13,FALSE)</f>
        <v>2.3E-2</v>
      </c>
    </row>
    <row r="22" spans="5:168" ht="18" customHeight="1" x14ac:dyDescent="0.25">
      <c r="E22" s="141"/>
      <c r="F22" s="121">
        <f t="shared" si="63"/>
        <v>1.6144444444444437E-2</v>
      </c>
      <c r="G22" s="52">
        <f t="shared" si="72"/>
        <v>1.9097806479690716E-2</v>
      </c>
      <c r="H22" s="52">
        <f t="shared" si="71"/>
        <v>1.9093496075828539E-2</v>
      </c>
      <c r="I22" s="52">
        <f t="shared" si="71"/>
        <v>1.9087144051886083E-2</v>
      </c>
      <c r="J22" s="52">
        <f t="shared" si="71"/>
        <v>1.9078824267962289E-2</v>
      </c>
      <c r="K22" s="52">
        <f t="shared" si="71"/>
        <v>1.9068609157940879E-2</v>
      </c>
      <c r="L22" s="52">
        <f t="shared" si="71"/>
        <v>1.9056569709834454E-2</v>
      </c>
      <c r="M22" s="52">
        <f t="shared" si="71"/>
        <v>1.9042775449769418E-2</v>
      </c>
      <c r="N22" s="52">
        <f t="shared" si="71"/>
        <v>1.9027294429420836E-2</v>
      </c>
      <c r="O22" s="52">
        <f t="shared" si="71"/>
        <v>1.901019321671113E-2</v>
      </c>
      <c r="P22" s="52">
        <f t="shared" si="71"/>
        <v>1.8991536889584784E-2</v>
      </c>
      <c r="Q22" s="52">
        <f t="shared" si="71"/>
        <v>1.8971389032679992E-2</v>
      </c>
      <c r="R22" s="52">
        <f t="shared" si="71"/>
        <v>1.8949811736714967E-2</v>
      </c>
      <c r="S22" s="52">
        <f t="shared" si="71"/>
        <v>1.8926865600418376E-2</v>
      </c>
      <c r="T22" s="52">
        <f t="shared" si="71"/>
        <v>1.8902609734831467E-2</v>
      </c>
      <c r="U22" s="52">
        <f t="shared" si="71"/>
        <v>1.8877101769818667E-2</v>
      </c>
      <c r="V22" s="52">
        <f t="shared" si="71"/>
        <v>1.8850397862626191E-2</v>
      </c>
      <c r="W22" s="52">
        <f t="shared" si="71"/>
        <v>1.8822552708334044E-2</v>
      </c>
      <c r="X22" s="52">
        <f t="shared" si="71"/>
        <v>1.8793619552055652E-2</v>
      </c>
      <c r="Y22" s="52">
        <f t="shared" si="71"/>
        <v>1.8763650202737694E-2</v>
      </c>
      <c r="Z22" s="52">
        <f t="shared" si="71"/>
        <v>1.8732695048428689E-2</v>
      </c>
      <c r="AA22" s="52">
        <f t="shared" si="71"/>
        <v>1.8700803072879732E-2</v>
      </c>
      <c r="AB22" s="52">
        <f t="shared" si="71"/>
        <v>1.8668021873357771E-2</v>
      </c>
      <c r="AC22" s="52">
        <f t="shared" si="71"/>
        <v>1.8634397679546798E-2</v>
      </c>
      <c r="AD22" s="52">
        <f t="shared" si="71"/>
        <v>1.8599975373429209E-2</v>
      </c>
      <c r="AE22" s="52">
        <f t="shared" si="71"/>
        <v>1.8564798510033974E-2</v>
      </c>
      <c r="AF22" s="52">
        <f t="shared" si="71"/>
        <v>1.8528909338954586E-2</v>
      </c>
      <c r="AG22" s="52">
        <f t="shared" si="71"/>
        <v>1.8492348826537695E-2</v>
      </c>
      <c r="AH22" s="52">
        <f t="shared" si="71"/>
        <v>1.8455156678653183E-2</v>
      </c>
      <c r="AI22" s="52">
        <f t="shared" si="71"/>
        <v>1.8417371363958539E-2</v>
      </c>
      <c r="AJ22" s="52">
        <f t="shared" si="71"/>
        <v>1.8379030137579487E-2</v>
      </c>
      <c r="AK22" s="52">
        <f t="shared" si="71"/>
        <v>1.8340169065128337E-2</v>
      </c>
      <c r="AL22" s="52">
        <f t="shared" si="71"/>
        <v>1.8300823046994281E-2</v>
      </c>
      <c r="AM22" s="52">
        <f t="shared" si="71"/>
        <v>1.8261025842834663E-2</v>
      </c>
      <c r="AN22" s="52">
        <f t="shared" si="71"/>
        <v>1.822081009621045E-2</v>
      </c>
      <c r="AO22" s="52">
        <f t="shared" si="71"/>
        <v>1.8180207359305464E-2</v>
      </c>
      <c r="AP22" s="52">
        <f t="shared" si="71"/>
        <v>1.8139248117680289E-2</v>
      </c>
      <c r="AQ22" s="52">
        <f t="shared" si="71"/>
        <v>1.8097961815008379E-2</v>
      </c>
      <c r="AR22" s="52">
        <f t="shared" si="71"/>
        <v>1.8056376877751239E-2</v>
      </c>
      <c r="AS22" s="52">
        <f t="shared" si="71"/>
        <v>1.8014520739732202E-2</v>
      </c>
      <c r="AT22" s="52">
        <f t="shared" si="71"/>
        <v>1.7972419866568671E-2</v>
      </c>
      <c r="AU22" s="52">
        <f t="shared" si="71"/>
        <v>1.7930099779929747E-2</v>
      </c>
      <c r="AV22" s="52">
        <f t="shared" si="71"/>
        <v>1.7887585081586339E-2</v>
      </c>
      <c r="AW22" s="52">
        <f t="shared" si="71"/>
        <v>1.7844899477227123E-2</v>
      </c>
      <c r="AX22" s="52">
        <f t="shared" si="71"/>
        <v>1.7802065800011365E-2</v>
      </c>
      <c r="AY22" s="52">
        <f t="shared" si="71"/>
        <v>1.7759106033839126E-2</v>
      </c>
      <c r="AZ22" s="52">
        <f t="shared" si="71"/>
        <v>1.7716041336313559E-2</v>
      </c>
      <c r="BA22" s="52">
        <f t="shared" si="71"/>
        <v>1.7672892061380625E-2</v>
      </c>
      <c r="BB22" s="52">
        <f t="shared" si="71"/>
        <v>1.7629677781627551E-2</v>
      </c>
      <c r="BC22" s="52">
        <f t="shared" si="71"/>
        <v>1.7586417310226077E-2</v>
      </c>
      <c r="BD22" s="52">
        <f t="shared" si="71"/>
        <v>1.7543128722508412E-2</v>
      </c>
      <c r="BE22" s="52">
        <f t="shared" si="71"/>
        <v>1.7499829377164901E-2</v>
      </c>
      <c r="BF22" s="52">
        <f t="shared" si="71"/>
        <v>1.7456535937054225E-2</v>
      </c>
      <c r="BG22" s="52">
        <f t="shared" si="71"/>
        <v>1.741326438961821E-2</v>
      </c>
      <c r="BH22" s="52">
        <f t="shared" si="71"/>
        <v>1.7370030066895758E-2</v>
      </c>
      <c r="BI22" s="52">
        <f t="shared" si="71"/>
        <v>1.7326847665130995E-2</v>
      </c>
      <c r="BJ22" s="52">
        <f t="shared" si="71"/>
        <v>1.7283731263972216E-2</v>
      </c>
      <c r="BK22" s="52">
        <f t="shared" si="71"/>
        <v>1.7240694345257039E-2</v>
      </c>
      <c r="BL22" s="52">
        <f t="shared" si="71"/>
        <v>1.7197749811385624E-2</v>
      </c>
      <c r="BM22" s="52">
        <f t="shared" si="71"/>
        <v>1.7154910003279945E-2</v>
      </c>
      <c r="BN22" s="52">
        <f t="shared" si="71"/>
        <v>1.7112186717928028E-2</v>
      </c>
      <c r="BO22" s="52">
        <f t="shared" si="71"/>
        <v>1.7069591225516243E-2</v>
      </c>
      <c r="BP22" s="52">
        <f t="shared" si="71"/>
        <v>1.7027134286152372E-2</v>
      </c>
      <c r="BQ22" s="52">
        <f t="shared" si="71"/>
        <v>1.6984826166178364E-2</v>
      </c>
      <c r="BR22" s="52">
        <f t="shared" ref="BR22" si="73">IF(BR$9&lt;=$K$6,RATE($K$6,1,BR49,0),"")</f>
        <v>1.6942676654079395E-2</v>
      </c>
      <c r="BS22" s="52">
        <f t="shared" si="69"/>
        <v>1.6900695075992445E-2</v>
      </c>
      <c r="BT22" s="52">
        <f t="shared" si="69"/>
        <v>1.6858890310816575E-2</v>
      </c>
      <c r="BU22" s="52">
        <f t="shared" si="69"/>
        <v>1.6817270804930815E-2</v>
      </c>
      <c r="BV22" s="52">
        <f t="shared" si="69"/>
        <v>1.6775844586526735E-2</v>
      </c>
      <c r="BW22" s="52">
        <f t="shared" si="69"/>
        <v>1.6734619279556367E-2</v>
      </c>
      <c r="BX22" s="52">
        <f t="shared" si="69"/>
        <v>1.6693602117305615E-2</v>
      </c>
      <c r="BY22" s="52">
        <f t="shared" si="69"/>
        <v>1.6652799955597347E-2</v>
      </c>
      <c r="BZ22" s="52">
        <f t="shared" si="69"/>
        <v>1.6612219285628227E-2</v>
      </c>
      <c r="CA22" s="52">
        <f t="shared" si="69"/>
        <v>1.6571866246450448E-2</v>
      </c>
      <c r="CB22" s="52">
        <f t="shared" si="69"/>
        <v>1.6531746637101247E-2</v>
      </c>
      <c r="CC22" s="52">
        <f t="shared" si="69"/>
        <v>1.6491865928385984E-2</v>
      </c>
      <c r="CD22" s="52">
        <f t="shared" si="69"/>
        <v>1.645222927432614E-2</v>
      </c>
      <c r="CE22" s="52">
        <f t="shared" si="69"/>
        <v>1.6412841523274036E-2</v>
      </c>
      <c r="CF22" s="52">
        <f t="shared" si="69"/>
        <v>1.6373707228705389E-2</v>
      </c>
      <c r="CG22" s="52">
        <f t="shared" si="69"/>
        <v>1.6334830659692798E-2</v>
      </c>
      <c r="CH22" s="52">
        <f t="shared" si="69"/>
        <v>1.6296215811070634E-2</v>
      </c>
      <c r="CI22" s="52">
        <f t="shared" si="69"/>
        <v>1.6257866413295814E-2</v>
      </c>
      <c r="CJ22" s="52">
        <f t="shared" si="69"/>
        <v>1.6219785942012985E-2</v>
      </c>
      <c r="CK22" s="52">
        <f t="shared" si="69"/>
        <v>1.6181977609670176E-2</v>
      </c>
      <c r="CL22" s="52">
        <f t="shared" si="69"/>
        <v>1.6144444444444302E-2</v>
      </c>
      <c r="CM22" s="52">
        <f t="shared" si="69"/>
        <v>1.6144444444444302E-2</v>
      </c>
      <c r="CN22" s="52">
        <f t="shared" si="69"/>
        <v>1.6144444444444302E-2</v>
      </c>
      <c r="CO22" s="52">
        <f t="shared" si="69"/>
        <v>1.6144444444444302E-2</v>
      </c>
      <c r="CP22" s="52">
        <f t="shared" si="69"/>
        <v>1.6144444444444302E-2</v>
      </c>
      <c r="CQ22" s="52">
        <f t="shared" si="69"/>
        <v>1.6144444444444302E-2</v>
      </c>
      <c r="CR22" s="52">
        <f t="shared" si="69"/>
        <v>1.6144444444444302E-2</v>
      </c>
      <c r="CS22" s="52">
        <f t="shared" si="69"/>
        <v>1.6144444444444302E-2</v>
      </c>
      <c r="CT22" s="52">
        <f t="shared" si="69"/>
        <v>1.6144444444444302E-2</v>
      </c>
      <c r="CU22" s="52">
        <f t="shared" si="69"/>
        <v>1.6144444444444302E-2</v>
      </c>
      <c r="CV22" s="52">
        <f t="shared" si="69"/>
        <v>1.6144444444444302E-2</v>
      </c>
      <c r="CW22" s="52">
        <f t="shared" si="69"/>
        <v>1.6144444444444302E-2</v>
      </c>
      <c r="CX22" s="52">
        <f t="shared" si="69"/>
        <v>1.6144444444444302E-2</v>
      </c>
      <c r="CY22" s="142">
        <f t="shared" si="68"/>
        <v>1.6144444444444302E-2</v>
      </c>
      <c r="CZ22" s="142">
        <f t="shared" si="68"/>
        <v>1.6144444444444302E-2</v>
      </c>
      <c r="DA22" s="142">
        <f t="shared" si="68"/>
        <v>1.6144444444444302E-2</v>
      </c>
      <c r="DB22" s="142">
        <f t="shared" si="68"/>
        <v>1.6144444444444302E-2</v>
      </c>
      <c r="DC22" s="142">
        <f t="shared" si="68"/>
        <v>1.6144444444444302E-2</v>
      </c>
      <c r="DD22" s="142">
        <f t="shared" si="68"/>
        <v>1.6144444444444302E-2</v>
      </c>
      <c r="DE22" s="142">
        <f t="shared" si="68"/>
        <v>1.6144444444444302E-2</v>
      </c>
      <c r="DF22" s="142">
        <f t="shared" si="68"/>
        <v>1.6144444444444302E-2</v>
      </c>
      <c r="DG22" s="142">
        <f t="shared" si="68"/>
        <v>1.6144444444444302E-2</v>
      </c>
      <c r="DH22" s="142">
        <f t="shared" si="68"/>
        <v>1.6144444444444302E-2</v>
      </c>
      <c r="DI22" s="142">
        <f t="shared" si="68"/>
        <v>1.6144444444444302E-2</v>
      </c>
      <c r="DJ22" s="142">
        <f t="shared" si="68"/>
        <v>1.6144444444444302E-2</v>
      </c>
      <c r="DK22" s="142">
        <f t="shared" si="68"/>
        <v>1.6144444444444302E-2</v>
      </c>
      <c r="DL22" s="142">
        <f t="shared" si="68"/>
        <v>1.6144444444444302E-2</v>
      </c>
      <c r="DM22" s="142">
        <f t="shared" si="68"/>
        <v>1.6144444444444302E-2</v>
      </c>
      <c r="DN22" s="142">
        <f t="shared" si="68"/>
        <v>1.6144444444444302E-2</v>
      </c>
      <c r="DO22" s="142">
        <f t="shared" si="68"/>
        <v>1.6144444444444302E-2</v>
      </c>
      <c r="DP22" s="142">
        <f t="shared" si="68"/>
        <v>1.6144444444444302E-2</v>
      </c>
      <c r="DQ22" s="142">
        <f t="shared" si="68"/>
        <v>1.6144444444444302E-2</v>
      </c>
      <c r="DR22" s="142">
        <f t="shared" si="68"/>
        <v>1.6144444444444302E-2</v>
      </c>
      <c r="DS22" s="142">
        <f t="shared" si="68"/>
        <v>1.6144444444444302E-2</v>
      </c>
      <c r="DT22" s="142">
        <f t="shared" si="68"/>
        <v>1.6144444444444302E-2</v>
      </c>
      <c r="DU22" s="142">
        <f t="shared" si="68"/>
        <v>1.6144444444444302E-2</v>
      </c>
      <c r="DV22" s="142">
        <f t="shared" si="68"/>
        <v>1.6144444444444302E-2</v>
      </c>
      <c r="DW22" s="48">
        <f t="shared" si="66"/>
        <v>1.6144444444444302E-2</v>
      </c>
      <c r="DX22" s="48">
        <f t="shared" si="66"/>
        <v>1.6144444444444302E-2</v>
      </c>
      <c r="DY22" s="48">
        <f t="shared" si="66"/>
        <v>1.6144444444444302E-2</v>
      </c>
      <c r="DZ22" s="48">
        <f t="shared" si="66"/>
        <v>1.6144444444444302E-2</v>
      </c>
      <c r="EA22" s="48">
        <f t="shared" si="66"/>
        <v>1.6144444444444302E-2</v>
      </c>
      <c r="EB22" s="48">
        <f t="shared" si="66"/>
        <v>1.6144444444444302E-2</v>
      </c>
      <c r="EC22" s="48">
        <f t="shared" si="66"/>
        <v>1.6144444444444302E-2</v>
      </c>
      <c r="ED22" s="48">
        <f t="shared" si="66"/>
        <v>1.6144444444444302E-2</v>
      </c>
      <c r="EE22" s="48">
        <f t="shared" si="66"/>
        <v>1.6144444444444302E-2</v>
      </c>
      <c r="EF22" s="48">
        <f t="shared" si="66"/>
        <v>1.6144444444444302E-2</v>
      </c>
      <c r="EG22" s="48">
        <f t="shared" si="66"/>
        <v>1.6144444444444302E-2</v>
      </c>
      <c r="EH22" s="48">
        <f t="shared" si="66"/>
        <v>1.6144444444444302E-2</v>
      </c>
      <c r="EI22" s="48">
        <f t="shared" si="66"/>
        <v>1.6144444444444302E-2</v>
      </c>
      <c r="EJ22" s="48">
        <f t="shared" si="66"/>
        <v>1.6144444444444302E-2</v>
      </c>
      <c r="EK22" s="48">
        <f t="shared" si="66"/>
        <v>1.6144444444444302E-2</v>
      </c>
      <c r="EL22" s="48">
        <f t="shared" si="66"/>
        <v>1.6144444444444302E-2</v>
      </c>
      <c r="EM22" s="48">
        <f t="shared" si="66"/>
        <v>1.6144444444444302E-2</v>
      </c>
      <c r="EN22" s="48">
        <f t="shared" si="66"/>
        <v>1.6144444444444302E-2</v>
      </c>
      <c r="EO22" s="48">
        <f t="shared" si="66"/>
        <v>1.6144444444444302E-2</v>
      </c>
      <c r="EP22" s="48">
        <f t="shared" si="66"/>
        <v>1.6144444444444302E-2</v>
      </c>
      <c r="EQ22" s="48">
        <f t="shared" si="66"/>
        <v>1.6144444444444302E-2</v>
      </c>
      <c r="ER22" s="48">
        <f t="shared" si="66"/>
        <v>1.6144444444444302E-2</v>
      </c>
      <c r="ES22" s="48">
        <f t="shared" si="66"/>
        <v>1.6144444444444302E-2</v>
      </c>
      <c r="ET22" s="48">
        <f t="shared" si="66"/>
        <v>1.6144444444444302E-2</v>
      </c>
      <c r="FA22" s="47"/>
      <c r="FF22" s="130" t="s">
        <v>143</v>
      </c>
      <c r="FG22" s="12">
        <v>2.2200000000000001E-2</v>
      </c>
      <c r="FH22" s="12">
        <v>120</v>
      </c>
      <c r="FI22" s="12">
        <v>2.1000000000000001E-2</v>
      </c>
      <c r="FJ22" s="82">
        <v>1.4999999999999999E-2</v>
      </c>
      <c r="FK22" s="134">
        <f t="shared" si="62"/>
        <v>4.0000000000000007E-4</v>
      </c>
      <c r="FL22">
        <f>VLOOKUP(FF22,'SIMULADOR COM SALDO'!$BF$22:$BS$268,13,FALSE)</f>
        <v>2.2200000000000001E-2</v>
      </c>
    </row>
    <row r="23" spans="5:168" ht="18" customHeight="1" x14ac:dyDescent="0.25">
      <c r="E23" s="141"/>
      <c r="F23" s="121">
        <f t="shared" si="63"/>
        <v>1.656666666666666E-2</v>
      </c>
      <c r="G23" s="52">
        <f t="shared" si="72"/>
        <v>1.9098120606491204E-2</v>
      </c>
      <c r="H23" s="52">
        <f t="shared" ref="H23:BR26" si="74">IF(H$9&lt;=$K$6,RATE($K$6,1,H50,0),"")</f>
        <v>1.9094428166174973E-2</v>
      </c>
      <c r="I23" s="52">
        <f t="shared" si="74"/>
        <v>1.9088987735689705E-2</v>
      </c>
      <c r="J23" s="52">
        <f t="shared" si="74"/>
        <v>1.9081863065346014E-2</v>
      </c>
      <c r="K23" s="52">
        <f t="shared" si="74"/>
        <v>1.9073116589006272E-2</v>
      </c>
      <c r="L23" s="52">
        <f t="shared" si="74"/>
        <v>1.9062809416080115E-2</v>
      </c>
      <c r="M23" s="52">
        <f t="shared" si="74"/>
        <v>1.9051001326128081E-2</v>
      </c>
      <c r="N23" s="52">
        <f t="shared" si="74"/>
        <v>1.9037750765921981E-2</v>
      </c>
      <c r="O23" s="52">
        <f t="shared" si="74"/>
        <v>1.9023114848814457E-2</v>
      </c>
      <c r="P23" s="52">
        <f t="shared" si="74"/>
        <v>1.9007149356272311E-2</v>
      </c>
      <c r="Q23" s="52">
        <f t="shared" si="74"/>
        <v>1.8989908741433793E-2</v>
      </c>
      <c r="R23" s="52">
        <f t="shared" si="74"/>
        <v>1.8971446134551494E-2</v>
      </c>
      <c r="S23" s="52">
        <f t="shared" si="74"/>
        <v>1.8951813350190531E-2</v>
      </c>
      <c r="T23" s="52">
        <f t="shared" si="74"/>
        <v>1.8931060896050129E-2</v>
      </c>
      <c r="U23" s="52">
        <f t="shared" si="74"/>
        <v>1.8909237983289431E-2</v>
      </c>
      <c r="V23" s="52">
        <f t="shared" si="74"/>
        <v>1.8886392538234268E-2</v>
      </c>
      <c r="W23" s="52">
        <f t="shared" si="74"/>
        <v>1.8862571215353771E-2</v>
      </c>
      <c r="X23" s="52">
        <f t="shared" si="74"/>
        <v>1.8837819411394646E-2</v>
      </c>
      <c r="Y23" s="52">
        <f t="shared" si="74"/>
        <v>1.881218128057115E-2</v>
      </c>
      <c r="Z23" s="52">
        <f t="shared" si="74"/>
        <v>1.8785699750707988E-2</v>
      </c>
      <c r="AA23" s="52">
        <f t="shared" si="74"/>
        <v>1.8758416540243468E-2</v>
      </c>
      <c r="AB23" s="52">
        <f t="shared" si="74"/>
        <v>1.8730372175999738E-2</v>
      </c>
      <c r="AC23" s="52">
        <f t="shared" si="74"/>
        <v>1.8701606011636469E-2</v>
      </c>
      <c r="AD23" s="52">
        <f t="shared" si="74"/>
        <v>1.8672156246706411E-2</v>
      </c>
      <c r="AE23" s="52">
        <f t="shared" si="74"/>
        <v>1.8642059946233535E-2</v>
      </c>
      <c r="AF23" s="52">
        <f t="shared" si="74"/>
        <v>1.8611353060745118E-2</v>
      </c>
      <c r="AG23" s="52">
        <f t="shared" si="74"/>
        <v>1.858007044668538E-2</v>
      </c>
      <c r="AH23" s="52">
        <f t="shared" si="74"/>
        <v>1.8548245887150209E-2</v>
      </c>
      <c r="AI23" s="52">
        <f t="shared" si="74"/>
        <v>1.8515912112880114E-2</v>
      </c>
      <c r="AJ23" s="52">
        <f t="shared" si="74"/>
        <v>1.8483100823455577E-2</v>
      </c>
      <c r="AK23" s="52">
        <f t="shared" si="74"/>
        <v>1.84498427086442E-2</v>
      </c>
      <c r="AL23" s="52">
        <f t="shared" si="74"/>
        <v>1.8416167469847245E-2</v>
      </c>
      <c r="AM23" s="52">
        <f t="shared" si="74"/>
        <v>1.8382103841602326E-2</v>
      </c>
      <c r="AN23" s="52">
        <f t="shared" si="74"/>
        <v>1.8347679613100316E-2</v>
      </c>
      <c r="AO23" s="52">
        <f t="shared" si="74"/>
        <v>1.8312921649673665E-2</v>
      </c>
      <c r="AP23" s="52">
        <f t="shared" si="74"/>
        <v>1.8277855914224966E-2</v>
      </c>
      <c r="AQ23" s="52">
        <f t="shared" si="74"/>
        <v>1.8242507488558948E-2</v>
      </c>
      <c r="AR23" s="52">
        <f t="shared" si="74"/>
        <v>1.8206900594587554E-2</v>
      </c>
      <c r="AS23" s="52">
        <f t="shared" si="74"/>
        <v>1.8171058615382162E-2</v>
      </c>
      <c r="AT23" s="52">
        <f t="shared" si="74"/>
        <v>1.8135004116044979E-2</v>
      </c>
      <c r="AU23" s="52">
        <f t="shared" si="74"/>
        <v>1.8098758864377378E-2</v>
      </c>
      <c r="AV23" s="52">
        <f t="shared" si="74"/>
        <v>1.8062343851324957E-2</v>
      </c>
      <c r="AW23" s="52">
        <f t="shared" si="74"/>
        <v>1.8025779311178734E-2</v>
      </c>
      <c r="AX23" s="52">
        <f t="shared" si="74"/>
        <v>1.7989084741516309E-2</v>
      </c>
      <c r="AY23" s="52">
        <f t="shared" si="74"/>
        <v>1.7952278922867548E-2</v>
      </c>
      <c r="AZ23" s="52">
        <f t="shared" si="74"/>
        <v>1.7915379938092477E-2</v>
      </c>
      <c r="BA23" s="52">
        <f t="shared" si="74"/>
        <v>1.7878405191457735E-2</v>
      </c>
      <c r="BB23" s="52">
        <f t="shared" si="74"/>
        <v>1.7841371427401324E-2</v>
      </c>
      <c r="BC23" s="52">
        <f t="shared" si="74"/>
        <v>1.7804294748979318E-2</v>
      </c>
      <c r="BD23" s="52">
        <f t="shared" si="74"/>
        <v>1.7767190635984614E-2</v>
      </c>
      <c r="BE23" s="52">
        <f t="shared" si="74"/>
        <v>1.7730073962730259E-2</v>
      </c>
      <c r="BF23" s="52">
        <f t="shared" si="74"/>
        <v>1.7692959015496498E-2</v>
      </c>
      <c r="BG23" s="52">
        <f t="shared" si="74"/>
        <v>1.7655859509632488E-2</v>
      </c>
      <c r="BH23" s="52">
        <f t="shared" si="74"/>
        <v>1.7618788606313707E-2</v>
      </c>
      <c r="BI23" s="52">
        <f t="shared" si="74"/>
        <v>1.7581758928949129E-2</v>
      </c>
      <c r="BJ23" s="52">
        <f t="shared" si="74"/>
        <v>1.7544782579240605E-2</v>
      </c>
      <c r="BK23" s="52">
        <f t="shared" si="74"/>
        <v>1.7507871152889515E-2</v>
      </c>
      <c r="BL23" s="52">
        <f t="shared" si="74"/>
        <v>1.7471035754955701E-2</v>
      </c>
      <c r="BM23" s="52">
        <f t="shared" si="74"/>
        <v>1.7434287014865109E-2</v>
      </c>
      <c r="BN23" s="52">
        <f t="shared" si="74"/>
        <v>1.7397635101070102E-2</v>
      </c>
      <c r="BO23" s="52">
        <f t="shared" si="74"/>
        <v>1.7361089735363294E-2</v>
      </c>
      <c r="BP23" s="52">
        <f t="shared" si="74"/>
        <v>1.7324660206848655E-2</v>
      </c>
      <c r="BQ23" s="52">
        <f t="shared" si="74"/>
        <v>1.7288355385569974E-2</v>
      </c>
      <c r="BR23" s="52">
        <f t="shared" si="74"/>
        <v>1.725218373580337E-2</v>
      </c>
      <c r="BS23" s="52">
        <f t="shared" si="69"/>
        <v>1.7216153329015941E-2</v>
      </c>
      <c r="BT23" s="52">
        <f t="shared" si="69"/>
        <v>1.7180271856493026E-2</v>
      </c>
      <c r="BU23" s="52">
        <f t="shared" si="69"/>
        <v>1.7144546641641421E-2</v>
      </c>
      <c r="BV23" s="52">
        <f t="shared" si="69"/>
        <v>1.7108984651970652E-2</v>
      </c>
      <c r="BW23" s="52">
        <f t="shared" si="69"/>
        <v>1.7073592510758476E-2</v>
      </c>
      <c r="BX23" s="52">
        <f t="shared" si="69"/>
        <v>1.7038376508405353E-2</v>
      </c>
      <c r="BY23" s="52">
        <f t="shared" si="69"/>
        <v>1.7003342613481059E-2</v>
      </c>
      <c r="BZ23" s="52">
        <f t="shared" si="69"/>
        <v>1.696849648347248E-2</v>
      </c>
      <c r="CA23" s="52">
        <f t="shared" si="69"/>
        <v>1.6933843475234814E-2</v>
      </c>
      <c r="CB23" s="52">
        <f t="shared" si="69"/>
        <v>1.6899388655153339E-2</v>
      </c>
      <c r="CC23" s="52">
        <f t="shared" si="69"/>
        <v>1.6865136809020156E-2</v>
      </c>
      <c r="CD23" s="52">
        <f t="shared" si="69"/>
        <v>1.6831092451632969E-2</v>
      </c>
      <c r="CE23" s="52">
        <f t="shared" si="69"/>
        <v>1.6797259836120713E-2</v>
      </c>
      <c r="CF23" s="52">
        <f t="shared" si="69"/>
        <v>1.6763642963001309E-2</v>
      </c>
      <c r="CG23" s="52">
        <f t="shared" si="69"/>
        <v>1.6730245588979297E-2</v>
      </c>
      <c r="CH23" s="52">
        <f t="shared" si="69"/>
        <v>1.6697071235486284E-2</v>
      </c>
      <c r="CI23" s="52">
        <f t="shared" si="69"/>
        <v>1.6664123196972074E-2</v>
      </c>
      <c r="CJ23" s="52">
        <f t="shared" si="69"/>
        <v>1.6631404548952743E-2</v>
      </c>
      <c r="CK23" s="52">
        <f t="shared" si="69"/>
        <v>1.6598918155817533E-2</v>
      </c>
      <c r="CL23" s="52">
        <f t="shared" si="69"/>
        <v>1.6566666678405836E-2</v>
      </c>
      <c r="CM23" s="52">
        <f t="shared" si="69"/>
        <v>1.6566666678405836E-2</v>
      </c>
      <c r="CN23" s="52">
        <f t="shared" si="69"/>
        <v>1.6566666678405836E-2</v>
      </c>
      <c r="CO23" s="52">
        <f t="shared" si="69"/>
        <v>1.6566666678405836E-2</v>
      </c>
      <c r="CP23" s="52">
        <f t="shared" si="69"/>
        <v>1.6566666678405836E-2</v>
      </c>
      <c r="CQ23" s="52">
        <f t="shared" si="69"/>
        <v>1.6566666678405836E-2</v>
      </c>
      <c r="CR23" s="52">
        <f t="shared" si="69"/>
        <v>1.6566666678405836E-2</v>
      </c>
      <c r="CS23" s="52">
        <f t="shared" si="69"/>
        <v>1.6566666678405836E-2</v>
      </c>
      <c r="CT23" s="52">
        <f t="shared" si="69"/>
        <v>1.6566666678405836E-2</v>
      </c>
      <c r="CU23" s="52">
        <f t="shared" si="69"/>
        <v>1.6566666678405836E-2</v>
      </c>
      <c r="CV23" s="52">
        <f t="shared" si="69"/>
        <v>1.6566666678405836E-2</v>
      </c>
      <c r="CW23" s="52">
        <f t="shared" si="69"/>
        <v>1.6566666678405836E-2</v>
      </c>
      <c r="CX23" s="52">
        <f t="shared" ref="CX23" si="75">IF(CX$9&lt;=$K$6,RATE($K$6,1,CX50,0),"")</f>
        <v>1.6566666678405836E-2</v>
      </c>
      <c r="CY23" s="142">
        <f t="shared" si="68"/>
        <v>1.6566666678405836E-2</v>
      </c>
      <c r="CZ23" s="142">
        <f t="shared" si="68"/>
        <v>1.6566666678405836E-2</v>
      </c>
      <c r="DA23" s="142">
        <f t="shared" si="68"/>
        <v>1.6566666678405836E-2</v>
      </c>
      <c r="DB23" s="142">
        <f t="shared" si="68"/>
        <v>1.6566666678405836E-2</v>
      </c>
      <c r="DC23" s="142">
        <f t="shared" si="68"/>
        <v>1.6566666678405836E-2</v>
      </c>
      <c r="DD23" s="142">
        <f t="shared" si="68"/>
        <v>1.6566666678405836E-2</v>
      </c>
      <c r="DE23" s="142">
        <f t="shared" si="68"/>
        <v>1.6566666678405836E-2</v>
      </c>
      <c r="DF23" s="142">
        <f t="shared" si="68"/>
        <v>1.6566666678405836E-2</v>
      </c>
      <c r="DG23" s="142">
        <f t="shared" si="68"/>
        <v>1.6566666678405836E-2</v>
      </c>
      <c r="DH23" s="142">
        <f t="shared" si="68"/>
        <v>1.6566666678405836E-2</v>
      </c>
      <c r="DI23" s="142">
        <f t="shared" si="68"/>
        <v>1.6566666678405836E-2</v>
      </c>
      <c r="DJ23" s="142">
        <f t="shared" si="68"/>
        <v>1.6566666678405836E-2</v>
      </c>
      <c r="DK23" s="142">
        <f t="shared" si="68"/>
        <v>1.6566666678405836E-2</v>
      </c>
      <c r="DL23" s="142">
        <f t="shared" si="68"/>
        <v>1.6566666678405836E-2</v>
      </c>
      <c r="DM23" s="142">
        <f t="shared" si="68"/>
        <v>1.6566666678405836E-2</v>
      </c>
      <c r="DN23" s="142">
        <f t="shared" si="68"/>
        <v>1.6566666678405836E-2</v>
      </c>
      <c r="DO23" s="142">
        <f t="shared" si="68"/>
        <v>1.6566666678405836E-2</v>
      </c>
      <c r="DP23" s="142">
        <f t="shared" si="68"/>
        <v>1.6566666678405836E-2</v>
      </c>
      <c r="DQ23" s="142">
        <f t="shared" si="68"/>
        <v>1.6566666678405836E-2</v>
      </c>
      <c r="DR23" s="142">
        <f t="shared" si="68"/>
        <v>1.6566666678405836E-2</v>
      </c>
      <c r="DS23" s="142">
        <f t="shared" si="68"/>
        <v>1.6566666678405836E-2</v>
      </c>
      <c r="DT23" s="142">
        <f t="shared" si="68"/>
        <v>1.6566666678405836E-2</v>
      </c>
      <c r="DU23" s="142">
        <f t="shared" si="68"/>
        <v>1.6566666678405836E-2</v>
      </c>
      <c r="DV23" s="142">
        <f t="shared" si="68"/>
        <v>1.6566666678405836E-2</v>
      </c>
      <c r="DW23" s="48">
        <f t="shared" si="66"/>
        <v>1.6566666678405836E-2</v>
      </c>
      <c r="DX23" s="48">
        <f t="shared" si="66"/>
        <v>1.6566666678405836E-2</v>
      </c>
      <c r="DY23" s="48">
        <f t="shared" si="66"/>
        <v>1.6566666678405836E-2</v>
      </c>
      <c r="DZ23" s="48">
        <f t="shared" si="66"/>
        <v>1.6566666678405836E-2</v>
      </c>
      <c r="EA23" s="48">
        <f t="shared" si="66"/>
        <v>1.6566666678405836E-2</v>
      </c>
      <c r="EB23" s="48">
        <f t="shared" si="66"/>
        <v>1.6566666678405836E-2</v>
      </c>
      <c r="EC23" s="48">
        <f t="shared" si="66"/>
        <v>1.6566666678405836E-2</v>
      </c>
      <c r="ED23" s="48">
        <f t="shared" si="66"/>
        <v>1.6566666678405836E-2</v>
      </c>
      <c r="EE23" s="48">
        <f t="shared" si="66"/>
        <v>1.6566666678405836E-2</v>
      </c>
      <c r="EF23" s="48">
        <f t="shared" si="66"/>
        <v>1.6566666678405836E-2</v>
      </c>
      <c r="EG23" s="48">
        <f t="shared" si="66"/>
        <v>1.6566666678405836E-2</v>
      </c>
      <c r="EH23" s="48">
        <f t="shared" si="66"/>
        <v>1.6566666678405836E-2</v>
      </c>
      <c r="EI23" s="48">
        <f t="shared" si="66"/>
        <v>1.6566666678405836E-2</v>
      </c>
      <c r="EJ23" s="48">
        <f t="shared" si="66"/>
        <v>1.6566666678405836E-2</v>
      </c>
      <c r="EK23" s="48">
        <f t="shared" si="66"/>
        <v>1.6566666678405836E-2</v>
      </c>
      <c r="EL23" s="48">
        <f t="shared" si="66"/>
        <v>1.6566666678405836E-2</v>
      </c>
      <c r="EM23" s="48">
        <f t="shared" si="66"/>
        <v>1.6566666678405836E-2</v>
      </c>
      <c r="EN23" s="48">
        <f t="shared" si="66"/>
        <v>1.6566666678405836E-2</v>
      </c>
      <c r="EO23" s="48">
        <f t="shared" si="66"/>
        <v>1.6566666678405836E-2</v>
      </c>
      <c r="EP23" s="48">
        <f t="shared" si="66"/>
        <v>1.6566666678405836E-2</v>
      </c>
      <c r="EQ23" s="48">
        <f t="shared" si="66"/>
        <v>1.6566666678405836E-2</v>
      </c>
      <c r="ER23" s="48">
        <f t="shared" si="66"/>
        <v>1.6566666678405836E-2</v>
      </c>
      <c r="ES23" s="48">
        <f t="shared" si="66"/>
        <v>1.6566666678405836E-2</v>
      </c>
      <c r="ET23" s="48">
        <f t="shared" si="66"/>
        <v>1.6566666678405836E-2</v>
      </c>
      <c r="FA23" s="47"/>
      <c r="FF23" s="130" t="s">
        <v>146</v>
      </c>
      <c r="FG23" s="12">
        <v>1.9900000000000001E-2</v>
      </c>
      <c r="FH23" s="12">
        <v>96</v>
      </c>
      <c r="FI23" s="12">
        <v>1.8000000000000002E-2</v>
      </c>
      <c r="FJ23" s="82">
        <v>1.3600000000000001E-2</v>
      </c>
      <c r="FK23" s="134">
        <f t="shared" si="62"/>
        <v>3.5E-4</v>
      </c>
      <c r="FL23">
        <f>VLOOKUP(FF23,'SIMULADOR COM SALDO'!$BF$22:$BS$268,13,FALSE)</f>
        <v>1.9900000000000001E-2</v>
      </c>
    </row>
    <row r="24" spans="5:168" ht="18" customHeight="1" x14ac:dyDescent="0.25">
      <c r="E24" s="141"/>
      <c r="F24" s="121">
        <f t="shared" si="63"/>
        <v>1.6988888888888883E-2</v>
      </c>
      <c r="G24" s="52">
        <f t="shared" si="72"/>
        <v>1.909843447721607E-2</v>
      </c>
      <c r="H24" s="52">
        <f t="shared" si="74"/>
        <v>1.9095359268005131E-2</v>
      </c>
      <c r="I24" s="52">
        <f t="shared" si="74"/>
        <v>1.9090829039459429E-2</v>
      </c>
      <c r="J24" s="52">
        <f t="shared" si="74"/>
        <v>1.90848972838152E-2</v>
      </c>
      <c r="K24" s="52">
        <f t="shared" si="74"/>
        <v>1.9077616318043961E-2</v>
      </c>
      <c r="L24" s="52">
        <f t="shared" si="74"/>
        <v>1.9069037284631177E-2</v>
      </c>
      <c r="M24" s="52">
        <f t="shared" si="74"/>
        <v>1.9059210154079163E-2</v>
      </c>
      <c r="N24" s="52">
        <f t="shared" si="74"/>
        <v>1.9048183729016479E-2</v>
      </c>
      <c r="O24" s="52">
        <f t="shared" si="74"/>
        <v>1.9036005649808417E-2</v>
      </c>
      <c r="P24" s="52">
        <f t="shared" si="74"/>
        <v>1.902272240156197E-2</v>
      </c>
      <c r="Q24" s="52">
        <f t="shared" si="74"/>
        <v>1.9008379322422678E-2</v>
      </c>
      <c r="R24" s="52">
        <f t="shared" si="74"/>
        <v>1.8993020613067478E-2</v>
      </c>
      <c r="S24" s="52">
        <f t="shared" si="74"/>
        <v>1.8976689347297387E-2</v>
      </c>
      <c r="T24" s="52">
        <f t="shared" si="74"/>
        <v>1.8959427483639005E-2</v>
      </c>
      <c r="U24" s="52">
        <f t="shared" si="74"/>
        <v>1.8941275877870135E-2</v>
      </c>
      <c r="V24" s="52">
        <f t="shared" si="74"/>
        <v>1.892227429638452E-2</v>
      </c>
      <c r="W24" s="52">
        <f t="shared" si="74"/>
        <v>1.890246143031693E-2</v>
      </c>
      <c r="X24" s="52">
        <f t="shared" si="74"/>
        <v>1.8881874910353657E-2</v>
      </c>
      <c r="Y24" s="52">
        <f t="shared" si="74"/>
        <v>1.8860551322155934E-2</v>
      </c>
      <c r="Z24" s="52">
        <f t="shared" si="74"/>
        <v>1.8838526222328109E-2</v>
      </c>
      <c r="AA24" s="52">
        <f t="shared" si="74"/>
        <v>1.8815834154865763E-2</v>
      </c>
      <c r="AB24" s="52">
        <f t="shared" si="74"/>
        <v>1.8792508668023591E-2</v>
      </c>
      <c r="AC24" s="52">
        <f t="shared" si="74"/>
        <v>1.8768582331544728E-2</v>
      </c>
      <c r="AD24" s="52">
        <f t="shared" si="74"/>
        <v>1.8744086754195206E-2</v>
      </c>
      <c r="AE24" s="52">
        <f t="shared" si="74"/>
        <v>1.8719052601556537E-2</v>
      </c>
      <c r="AF24" s="52">
        <f t="shared" si="74"/>
        <v>1.8693509614023825E-2</v>
      </c>
      <c r="AG24" s="52">
        <f t="shared" si="74"/>
        <v>1.866748662496762E-2</v>
      </c>
      <c r="AH24" s="52">
        <f t="shared" si="74"/>
        <v>1.8641011579015133E-2</v>
      </c>
      <c r="AI24" s="52">
        <f t="shared" si="74"/>
        <v>1.86141115504131E-2</v>
      </c>
      <c r="AJ24" s="52">
        <f t="shared" si="74"/>
        <v>1.8586812761434063E-2</v>
      </c>
      <c r="AK24" s="52">
        <f t="shared" si="74"/>
        <v>1.855914060079384E-2</v>
      </c>
      <c r="AL24" s="52">
        <f t="shared" si="74"/>
        <v>1.8531119642045648E-2</v>
      </c>
      <c r="AM24" s="52">
        <f t="shared" si="74"/>
        <v>1.8502773661925553E-2</v>
      </c>
      <c r="AN24" s="52">
        <f t="shared" si="74"/>
        <v>1.8474125658618099E-2</v>
      </c>
      <c r="AO24" s="52">
        <f t="shared" si="74"/>
        <v>1.8445197869920462E-2</v>
      </c>
      <c r="AP24" s="52">
        <f t="shared" si="74"/>
        <v>1.8416011791279989E-2</v>
      </c>
      <c r="AQ24" s="52">
        <f t="shared" si="74"/>
        <v>1.8386588193686455E-2</v>
      </c>
      <c r="AR24" s="52">
        <f t="shared" si="74"/>
        <v>1.8356947141396913E-2</v>
      </c>
      <c r="AS24" s="52">
        <f t="shared" si="74"/>
        <v>1.8327108009479568E-2</v>
      </c>
      <c r="AT24" s="52">
        <f t="shared" si="74"/>
        <v>1.8297089501157656E-2</v>
      </c>
      <c r="AU24" s="52">
        <f t="shared" si="74"/>
        <v>1.8266909664941541E-2</v>
      </c>
      <c r="AV24" s="52">
        <f t="shared" si="74"/>
        <v>1.8236585911534403E-2</v>
      </c>
      <c r="AW24" s="52">
        <f t="shared" si="74"/>
        <v>1.8206135030502387E-2</v>
      </c>
      <c r="AX24" s="52">
        <f t="shared" si="74"/>
        <v>1.8175573206697351E-2</v>
      </c>
      <c r="AY24" s="52">
        <f t="shared" si="74"/>
        <v>1.8144916036424617E-2</v>
      </c>
      <c r="AZ24" s="52">
        <f t="shared" si="74"/>
        <v>1.8114178543347587E-2</v>
      </c>
      <c r="BA24" s="52">
        <f t="shared" si="74"/>
        <v>1.8083375194122342E-2</v>
      </c>
      <c r="BB24" s="52">
        <f t="shared" si="74"/>
        <v>1.8052519913759116E-2</v>
      </c>
      <c r="BC24" s="52">
        <f t="shared" si="74"/>
        <v>1.8021626100700312E-2</v>
      </c>
      <c r="BD24" s="52">
        <f t="shared" si="74"/>
        <v>1.7990706641619579E-2</v>
      </c>
      <c r="BE24" s="52">
        <f t="shared" si="74"/>
        <v>1.7959773925930837E-2</v>
      </c>
      <c r="BF24" s="52">
        <f t="shared" si="74"/>
        <v>1.7928839860010856E-2</v>
      </c>
      <c r="BG24" s="52">
        <f t="shared" si="74"/>
        <v>1.7897915881130114E-2</v>
      </c>
      <c r="BH24" s="52">
        <f t="shared" si="74"/>
        <v>1.7867012971094623E-2</v>
      </c>
      <c r="BI24" s="52">
        <f t="shared" si="74"/>
        <v>1.7836141669595389E-2</v>
      </c>
      <c r="BJ24" s="52">
        <f t="shared" si="74"/>
        <v>1.7805312087266427E-2</v>
      </c>
      <c r="BK24" s="52">
        <f t="shared" si="74"/>
        <v>1.7774533918453617E-2</v>
      </c>
      <c r="BL24" s="52">
        <f t="shared" si="74"/>
        <v>1.7743816453694904E-2</v>
      </c>
      <c r="BM24" s="52">
        <f t="shared" si="74"/>
        <v>1.7713168591911507E-2</v>
      </c>
      <c r="BN24" s="52">
        <f t="shared" si="74"/>
        <v>1.7682598852316454E-2</v>
      </c>
      <c r="BO24" s="52">
        <f t="shared" si="74"/>
        <v>1.7652115386037698E-2</v>
      </c>
      <c r="BP24" s="52">
        <f t="shared" si="74"/>
        <v>1.7621725987463189E-2</v>
      </c>
      <c r="BQ24" s="52">
        <f t="shared" si="74"/>
        <v>1.7591438105307656E-2</v>
      </c>
      <c r="BR24" s="52">
        <f t="shared" si="74"/>
        <v>1.7561258853405846E-2</v>
      </c>
      <c r="BS24" s="52">
        <f t="shared" ref="BS24:CX29" si="76">IF(BS$9&lt;=$K$6,RATE($K$6,1,BS51,0),"")</f>
        <v>1.7531195021235523E-2</v>
      </c>
      <c r="BT24" s="52">
        <f t="shared" si="76"/>
        <v>1.7501253084173583E-2</v>
      </c>
      <c r="BU24" s="52">
        <f t="shared" si="76"/>
        <v>1.7471439213488867E-2</v>
      </c>
      <c r="BV24" s="52">
        <f t="shared" si="76"/>
        <v>1.7441759286076823E-2</v>
      </c>
      <c r="BW24" s="52">
        <f t="shared" si="76"/>
        <v>1.7412218893939162E-2</v>
      </c>
      <c r="BX24" s="52">
        <f t="shared" si="76"/>
        <v>1.7382823353412857E-2</v>
      </c>
      <c r="BY24" s="52">
        <f t="shared" si="76"/>
        <v>1.735357771415269E-2</v>
      </c>
      <c r="BZ24" s="52">
        <f t="shared" si="76"/>
        <v>1.7324486767873432E-2</v>
      </c>
      <c r="CA24" s="52">
        <f t="shared" si="76"/>
        <v>1.7295555056852898E-2</v>
      </c>
      <c r="CB24" s="52">
        <f t="shared" si="76"/>
        <v>1.7266786882204569E-2</v>
      </c>
      <c r="CC24" s="52">
        <f t="shared" si="76"/>
        <v>1.7238186311920159E-2</v>
      </c>
      <c r="CD24" s="52">
        <f t="shared" si="76"/>
        <v>1.7209757188690104E-2</v>
      </c>
      <c r="CE24" s="52">
        <f t="shared" si="76"/>
        <v>1.7181503137504689E-2</v>
      </c>
      <c r="CF24" s="52">
        <f t="shared" si="76"/>
        <v>1.715342757304163E-2</v>
      </c>
      <c r="CG24" s="52">
        <f t="shared" si="76"/>
        <v>1.7125533706843679E-2</v>
      </c>
      <c r="CH24" s="52">
        <f t="shared" si="76"/>
        <v>1.7097824554291544E-2</v>
      </c>
      <c r="CI24" s="52">
        <f t="shared" si="76"/>
        <v>1.7070302941376594E-2</v>
      </c>
      <c r="CJ24" s="52">
        <f t="shared" si="76"/>
        <v>1.7042971511277972E-2</v>
      </c>
      <c r="CK24" s="52">
        <f t="shared" si="76"/>
        <v>1.7015832730749147E-2</v>
      </c>
      <c r="CL24" s="52">
        <f t="shared" si="76"/>
        <v>1.6988888896317104E-2</v>
      </c>
      <c r="CM24" s="52">
        <f t="shared" si="76"/>
        <v>1.6988888896317104E-2</v>
      </c>
      <c r="CN24" s="52">
        <f t="shared" si="76"/>
        <v>1.6988888896317104E-2</v>
      </c>
      <c r="CO24" s="52">
        <f t="shared" si="76"/>
        <v>1.6988888896317104E-2</v>
      </c>
      <c r="CP24" s="52">
        <f t="shared" si="76"/>
        <v>1.6988888896317104E-2</v>
      </c>
      <c r="CQ24" s="52">
        <f t="shared" si="76"/>
        <v>1.6988888896317104E-2</v>
      </c>
      <c r="CR24" s="52">
        <f t="shared" si="76"/>
        <v>1.6988888896317104E-2</v>
      </c>
      <c r="CS24" s="52">
        <f t="shared" si="76"/>
        <v>1.6988888896317104E-2</v>
      </c>
      <c r="CT24" s="52">
        <f t="shared" si="76"/>
        <v>1.6988888896317104E-2</v>
      </c>
      <c r="CU24" s="52">
        <f t="shared" si="76"/>
        <v>1.6988888896317104E-2</v>
      </c>
      <c r="CV24" s="52">
        <f t="shared" si="76"/>
        <v>1.6988888896317104E-2</v>
      </c>
      <c r="CW24" s="52">
        <f t="shared" si="76"/>
        <v>1.6988888896317104E-2</v>
      </c>
      <c r="CX24" s="52">
        <f t="shared" si="76"/>
        <v>1.6988888896317104E-2</v>
      </c>
      <c r="CY24" s="142">
        <f t="shared" si="68"/>
        <v>1.6988888896317104E-2</v>
      </c>
      <c r="CZ24" s="142">
        <f t="shared" si="68"/>
        <v>1.6988888896317104E-2</v>
      </c>
      <c r="DA24" s="142">
        <f t="shared" si="68"/>
        <v>1.6988888896317104E-2</v>
      </c>
      <c r="DB24" s="142">
        <f t="shared" si="68"/>
        <v>1.6988888896317104E-2</v>
      </c>
      <c r="DC24" s="142">
        <f t="shared" si="68"/>
        <v>1.6988888896317104E-2</v>
      </c>
      <c r="DD24" s="142">
        <f t="shared" si="68"/>
        <v>1.6988888896317104E-2</v>
      </c>
      <c r="DE24" s="142">
        <f t="shared" si="68"/>
        <v>1.6988888896317104E-2</v>
      </c>
      <c r="DF24" s="142">
        <f t="shared" si="68"/>
        <v>1.6988888896317104E-2</v>
      </c>
      <c r="DG24" s="142">
        <f t="shared" si="68"/>
        <v>1.6988888896317104E-2</v>
      </c>
      <c r="DH24" s="142">
        <f t="shared" si="68"/>
        <v>1.6988888896317104E-2</v>
      </c>
      <c r="DI24" s="142">
        <f t="shared" si="68"/>
        <v>1.6988888896317104E-2</v>
      </c>
      <c r="DJ24" s="142">
        <f t="shared" si="68"/>
        <v>1.6988888896317104E-2</v>
      </c>
      <c r="DK24" s="142">
        <f t="shared" si="68"/>
        <v>1.6988888896317104E-2</v>
      </c>
      <c r="DL24" s="142">
        <f t="shared" si="68"/>
        <v>1.6988888896317104E-2</v>
      </c>
      <c r="DM24" s="142">
        <f t="shared" si="68"/>
        <v>1.6988888896317104E-2</v>
      </c>
      <c r="DN24" s="142">
        <f t="shared" si="68"/>
        <v>1.6988888896317104E-2</v>
      </c>
      <c r="DO24" s="142">
        <f t="shared" si="68"/>
        <v>1.6988888896317104E-2</v>
      </c>
      <c r="DP24" s="142">
        <f t="shared" si="68"/>
        <v>1.6988888896317104E-2</v>
      </c>
      <c r="DQ24" s="142">
        <f t="shared" si="68"/>
        <v>1.6988888896317104E-2</v>
      </c>
      <c r="DR24" s="142">
        <f t="shared" si="68"/>
        <v>1.6988888896317104E-2</v>
      </c>
      <c r="DS24" s="142">
        <f t="shared" si="68"/>
        <v>1.6988888896317104E-2</v>
      </c>
      <c r="DT24" s="142">
        <f t="shared" si="68"/>
        <v>1.6988888896317104E-2</v>
      </c>
      <c r="DU24" s="142">
        <f t="shared" si="68"/>
        <v>1.6988888896317104E-2</v>
      </c>
      <c r="DV24" s="142">
        <f t="shared" si="68"/>
        <v>1.6988888896317104E-2</v>
      </c>
      <c r="DW24" s="48">
        <f t="shared" si="66"/>
        <v>1.6988888896317104E-2</v>
      </c>
      <c r="DX24" s="48">
        <f t="shared" si="66"/>
        <v>1.6988888896317104E-2</v>
      </c>
      <c r="DY24" s="48">
        <f t="shared" si="66"/>
        <v>1.6988888896317104E-2</v>
      </c>
      <c r="DZ24" s="48">
        <f t="shared" si="66"/>
        <v>1.6988888896317104E-2</v>
      </c>
      <c r="EA24" s="48">
        <f t="shared" si="66"/>
        <v>1.6988888896317104E-2</v>
      </c>
      <c r="EB24" s="48">
        <f t="shared" si="66"/>
        <v>1.6988888896317104E-2</v>
      </c>
      <c r="EC24" s="48">
        <f t="shared" si="66"/>
        <v>1.6988888896317104E-2</v>
      </c>
      <c r="ED24" s="48">
        <f t="shared" si="66"/>
        <v>1.6988888896317104E-2</v>
      </c>
      <c r="EE24" s="48">
        <f t="shared" si="66"/>
        <v>1.6988888896317104E-2</v>
      </c>
      <c r="EF24" s="48">
        <f t="shared" si="66"/>
        <v>1.6988888896317104E-2</v>
      </c>
      <c r="EG24" s="48">
        <f t="shared" si="66"/>
        <v>1.6988888896317104E-2</v>
      </c>
      <c r="EH24" s="48">
        <f t="shared" si="66"/>
        <v>1.6988888896317104E-2</v>
      </c>
      <c r="EI24" s="48">
        <f t="shared" si="66"/>
        <v>1.6988888896317104E-2</v>
      </c>
      <c r="EJ24" s="48">
        <f t="shared" si="66"/>
        <v>1.6988888896317104E-2</v>
      </c>
      <c r="EK24" s="48">
        <f t="shared" si="66"/>
        <v>1.6988888896317104E-2</v>
      </c>
      <c r="EL24" s="48">
        <f t="shared" ref="EL24:ET24" si="77">IF(EL$9&lt;=$K$6,RATE($K$6,1,EL51,0),"")</f>
        <v>1.6988888896317104E-2</v>
      </c>
      <c r="EM24" s="48">
        <f t="shared" si="77"/>
        <v>1.6988888896317104E-2</v>
      </c>
      <c r="EN24" s="48">
        <f t="shared" si="77"/>
        <v>1.6988888896317104E-2</v>
      </c>
      <c r="EO24" s="48">
        <f t="shared" si="77"/>
        <v>1.6988888896317104E-2</v>
      </c>
      <c r="EP24" s="48">
        <f t="shared" si="77"/>
        <v>1.6988888896317104E-2</v>
      </c>
      <c r="EQ24" s="48">
        <f t="shared" si="77"/>
        <v>1.6988888896317104E-2</v>
      </c>
      <c r="ER24" s="48">
        <f t="shared" si="77"/>
        <v>1.6988888896317104E-2</v>
      </c>
      <c r="ES24" s="48">
        <f t="shared" si="77"/>
        <v>1.6988888896317104E-2</v>
      </c>
      <c r="ET24" s="48">
        <f t="shared" si="77"/>
        <v>1.6988888896317104E-2</v>
      </c>
      <c r="FA24" s="47"/>
      <c r="FF24" s="130" t="s">
        <v>148</v>
      </c>
      <c r="FG24" s="12">
        <v>1.9799999999999998E-2</v>
      </c>
      <c r="FH24" s="12">
        <v>120</v>
      </c>
      <c r="FI24" s="12">
        <v>1.9799999999999998E-2</v>
      </c>
      <c r="FJ24" s="82">
        <v>1.7000000000000001E-2</v>
      </c>
      <c r="FK24" s="134">
        <f t="shared" si="62"/>
        <v>1.5555555555555537E-4</v>
      </c>
      <c r="FL24">
        <f>VLOOKUP(FF24,'SIMULADOR COM SALDO'!$BF$22:$BS$268,13,FALSE)</f>
        <v>1.9799999999999998E-2</v>
      </c>
    </row>
    <row r="25" spans="5:168" ht="18" customHeight="1" x14ac:dyDescent="0.25">
      <c r="E25" s="141"/>
      <c r="F25" s="121">
        <f t="shared" si="63"/>
        <v>1.7411111111111106E-2</v>
      </c>
      <c r="G25" s="52">
        <f t="shared" si="72"/>
        <v>1.9098748092178437E-2</v>
      </c>
      <c r="H25" s="52">
        <f t="shared" si="74"/>
        <v>1.9096289382785674E-2</v>
      </c>
      <c r="I25" s="52">
        <f t="shared" si="74"/>
        <v>1.9092667967284926E-2</v>
      </c>
      <c r="J25" s="52">
        <f t="shared" si="74"/>
        <v>1.9087926932195812E-2</v>
      </c>
      <c r="K25" s="52">
        <f t="shared" si="74"/>
        <v>1.908210836131639E-2</v>
      </c>
      <c r="L25" s="52">
        <f t="shared" si="74"/>
        <v>1.9075253342372828E-2</v>
      </c>
      <c r="M25" s="52">
        <f t="shared" si="74"/>
        <v>1.9067401974664649E-2</v>
      </c>
      <c r="N25" s="52">
        <f t="shared" si="74"/>
        <v>1.9058593377626724E-2</v>
      </c>
      <c r="O25" s="52">
        <f t="shared" si="74"/>
        <v>1.9048865700240183E-2</v>
      </c>
      <c r="P25" s="52">
        <f t="shared" si="74"/>
        <v>1.9038256131220017E-2</v>
      </c>
      <c r="Q25" s="52">
        <f t="shared" si="74"/>
        <v>1.9026800909911563E-2</v>
      </c>
      <c r="R25" s="52">
        <f t="shared" si="74"/>
        <v>1.9014535337836695E-2</v>
      </c>
      <c r="S25" s="52">
        <f t="shared" si="74"/>
        <v>1.9001493790822954E-2</v>
      </c>
      <c r="T25" s="52">
        <f t="shared" si="74"/>
        <v>1.89877097316631E-2</v>
      </c>
      <c r="U25" s="52">
        <f t="shared" si="74"/>
        <v>1.8973215723245593E-2</v>
      </c>
      <c r="V25" s="52">
        <f t="shared" si="74"/>
        <v>1.8958043442106616E-2</v>
      </c>
      <c r="W25" s="52">
        <f t="shared" si="74"/>
        <v>1.8942223692352093E-2</v>
      </c>
      <c r="X25" s="52">
        <f t="shared" si="74"/>
        <v>1.8925786419902953E-2</v>
      </c>
      <c r="Y25" s="52">
        <f t="shared" si="74"/>
        <v>1.890876072701999E-2</v>
      </c>
      <c r="Z25" s="52">
        <f t="shared" si="74"/>
        <v>1.8891174887064481E-2</v>
      </c>
      <c r="AA25" s="52">
        <f t="shared" si="74"/>
        <v>1.8873056359457466E-2</v>
      </c>
      <c r="AB25" s="52">
        <f t="shared" si="74"/>
        <v>1.8854431804797907E-2</v>
      </c>
      <c r="AC25" s="52">
        <f t="shared" si="74"/>
        <v>1.8835327100106717E-2</v>
      </c>
      <c r="AD25" s="52">
        <f t="shared" si="74"/>
        <v>1.8815767354162904E-2</v>
      </c>
      <c r="AE25" s="52">
        <f t="shared" si="74"/>
        <v>1.8795776922901169E-2</v>
      </c>
      <c r="AF25" s="52">
        <f t="shared" si="74"/>
        <v>1.8775379424842639E-2</v>
      </c>
      <c r="AG25" s="52">
        <f t="shared" si="74"/>
        <v>1.8754597756533001E-2</v>
      </c>
      <c r="AH25" s="52">
        <f t="shared" si="74"/>
        <v>1.8733454107961126E-2</v>
      </c>
      <c r="AI25" s="52">
        <f t="shared" si="74"/>
        <v>1.8711969977936851E-2</v>
      </c>
      <c r="AJ25" s="52">
        <f t="shared" si="74"/>
        <v>1.8690166189407206E-2</v>
      </c>
      <c r="AK25" s="52">
        <f t="shared" si="74"/>
        <v>1.8668062904688257E-2</v>
      </c>
      <c r="AL25" s="52">
        <f t="shared" si="74"/>
        <v>1.8645679640599537E-2</v>
      </c>
      <c r="AM25" s="52">
        <f t="shared" si="74"/>
        <v>1.8623035283480052E-2</v>
      </c>
      <c r="AN25" s="52">
        <f t="shared" si="74"/>
        <v>1.8600148104072095E-2</v>
      </c>
      <c r="AO25" s="52">
        <f t="shared" si="74"/>
        <v>1.8577035772260341E-2</v>
      </c>
      <c r="AP25" s="52">
        <f t="shared" si="74"/>
        <v>1.8553715371652506E-2</v>
      </c>
      <c r="AQ25" s="52">
        <f t="shared" si="74"/>
        <v>1.8530203413989373E-2</v>
      </c>
      <c r="AR25" s="52">
        <f t="shared" si="74"/>
        <v>1.8506515853375659E-2</v>
      </c>
      <c r="AS25" s="52">
        <f t="shared" si="74"/>
        <v>1.8482668100321818E-2</v>
      </c>
      <c r="AT25" s="52">
        <f t="shared" si="74"/>
        <v>1.8458675035588391E-2</v>
      </c>
      <c r="AU25" s="52">
        <f t="shared" si="74"/>
        <v>1.843455102382582E-2</v>
      </c>
      <c r="AV25" s="52">
        <f t="shared" si="74"/>
        <v>1.8410309927002953E-2</v>
      </c>
      <c r="AW25" s="52">
        <f t="shared" si="74"/>
        <v>1.838596511762082E-2</v>
      </c>
      <c r="AX25" s="52">
        <f t="shared" si="74"/>
        <v>1.8361529491703867E-2</v>
      </c>
      <c r="AY25" s="52">
        <f t="shared" si="74"/>
        <v>1.8337015481566597E-2</v>
      </c>
      <c r="AZ25" s="52">
        <f t="shared" si="74"/>
        <v>1.8312435068352378E-2</v>
      </c>
      <c r="BA25" s="52">
        <f t="shared" si="74"/>
        <v>1.8287799794340993E-2</v>
      </c>
      <c r="BB25" s="52">
        <f t="shared" si="74"/>
        <v>1.8263120775022807E-2</v>
      </c>
      <c r="BC25" s="52">
        <f t="shared" si="74"/>
        <v>1.8238408710939517E-2</v>
      </c>
      <c r="BD25" s="52">
        <f t="shared" si="74"/>
        <v>1.8213673899288053E-2</v>
      </c>
      <c r="BE25" s="52">
        <f t="shared" si="74"/>
        <v>1.8188926245290123E-2</v>
      </c>
      <c r="BF25" s="52">
        <f t="shared" si="74"/>
        <v>1.8164175273323018E-2</v>
      </c>
      <c r="BG25" s="52">
        <f t="shared" si="74"/>
        <v>1.8139430137817738E-2</v>
      </c>
      <c r="BH25" s="52">
        <f t="shared" si="74"/>
        <v>1.81146996339198E-2</v>
      </c>
      <c r="BI25" s="52">
        <f t="shared" si="74"/>
        <v>1.8089992207916874E-2</v>
      </c>
      <c r="BJ25" s="52">
        <f t="shared" si="74"/>
        <v>1.8065315967432959E-2</v>
      </c>
      <c r="BK25" s="52">
        <f t="shared" si="74"/>
        <v>1.8040678691393058E-2</v>
      </c>
      <c r="BL25" s="52">
        <f t="shared" si="74"/>
        <v>1.8016087839756872E-2</v>
      </c>
      <c r="BM25" s="52">
        <f t="shared" si="74"/>
        <v>1.7991550563025916E-2</v>
      </c>
      <c r="BN25" s="52">
        <f t="shared" si="74"/>
        <v>1.7967073711526779E-2</v>
      </c>
      <c r="BO25" s="52">
        <f t="shared" si="74"/>
        <v>1.7942663844471445E-2</v>
      </c>
      <c r="BP25" s="52">
        <f t="shared" si="74"/>
        <v>1.7918327238798E-2</v>
      </c>
      <c r="BQ25" s="52">
        <f t="shared" si="74"/>
        <v>1.7894069897794747E-2</v>
      </c>
      <c r="BR25" s="52">
        <f t="shared" si="74"/>
        <v>1.786989755951195E-2</v>
      </c>
      <c r="BS25" s="52">
        <f t="shared" si="76"/>
        <v>1.7845815704961056E-2</v>
      </c>
      <c r="BT25" s="52">
        <f t="shared" si="76"/>
        <v>1.7821829566108768E-2</v>
      </c>
      <c r="BU25" s="52">
        <f t="shared" si="76"/>
        <v>1.7797944133664936E-2</v>
      </c>
      <c r="BV25" s="52">
        <f t="shared" si="76"/>
        <v>1.7774164164672038E-2</v>
      </c>
      <c r="BW25" s="52">
        <f t="shared" si="76"/>
        <v>1.7750494189896545E-2</v>
      </c>
      <c r="BX25" s="52">
        <f t="shared" si="76"/>
        <v>1.7726938521026577E-2</v>
      </c>
      <c r="BY25" s="52">
        <f t="shared" si="76"/>
        <v>1.7703501257680367E-2</v>
      </c>
      <c r="BZ25" s="52">
        <f t="shared" si="76"/>
        <v>1.7680186294226893E-2</v>
      </c>
      <c r="CA25" s="52">
        <f t="shared" si="76"/>
        <v>1.7656997326425825E-2</v>
      </c>
      <c r="CB25" s="52">
        <f t="shared" si="76"/>
        <v>1.7633937857886587E-2</v>
      </c>
      <c r="CC25" s="52">
        <f t="shared" si="76"/>
        <v>1.7611011206352268E-2</v>
      </c>
      <c r="CD25" s="52">
        <f t="shared" si="76"/>
        <v>1.7588220509812312E-2</v>
      </c>
      <c r="CE25" s="52">
        <f t="shared" si="76"/>
        <v>1.7565568732446416E-2</v>
      </c>
      <c r="CF25" s="52">
        <f t="shared" si="76"/>
        <v>1.7543058670404482E-2</v>
      </c>
      <c r="CG25" s="52">
        <f t="shared" si="76"/>
        <v>1.7520692957424148E-2</v>
      </c>
      <c r="CH25" s="52">
        <f t="shared" si="76"/>
        <v>1.749847407029289E-2</v>
      </c>
      <c r="CI25" s="52">
        <f t="shared" si="76"/>
        <v>1.7476404334154975E-2</v>
      </c>
      <c r="CJ25" s="52">
        <f t="shared" si="76"/>
        <v>1.7454485927667882E-2</v>
      </c>
      <c r="CK25" s="52">
        <f t="shared" si="76"/>
        <v>1.743272088801363E-2</v>
      </c>
      <c r="CL25" s="52">
        <f t="shared" si="76"/>
        <v>1.7411111115764585E-2</v>
      </c>
      <c r="CM25" s="52">
        <f t="shared" si="76"/>
        <v>1.7411111115764585E-2</v>
      </c>
      <c r="CN25" s="52">
        <f t="shared" si="76"/>
        <v>1.7411111115764585E-2</v>
      </c>
      <c r="CO25" s="52">
        <f t="shared" si="76"/>
        <v>1.7411111115764585E-2</v>
      </c>
      <c r="CP25" s="52">
        <f t="shared" si="76"/>
        <v>1.7411111115764585E-2</v>
      </c>
      <c r="CQ25" s="52">
        <f t="shared" si="76"/>
        <v>1.7411111115764585E-2</v>
      </c>
      <c r="CR25" s="52">
        <f t="shared" si="76"/>
        <v>1.7411111115764585E-2</v>
      </c>
      <c r="CS25" s="52">
        <f t="shared" si="76"/>
        <v>1.7411111115764585E-2</v>
      </c>
      <c r="CT25" s="52">
        <f t="shared" si="76"/>
        <v>1.7411111115764585E-2</v>
      </c>
      <c r="CU25" s="52">
        <f t="shared" si="76"/>
        <v>1.7411111115764585E-2</v>
      </c>
      <c r="CV25" s="52">
        <f t="shared" si="76"/>
        <v>1.7411111115764585E-2</v>
      </c>
      <c r="CW25" s="52">
        <f t="shared" si="76"/>
        <v>1.7411111115764585E-2</v>
      </c>
      <c r="CX25" s="52">
        <f t="shared" si="76"/>
        <v>1.7411111115764585E-2</v>
      </c>
      <c r="CY25" s="142">
        <f t="shared" si="68"/>
        <v>1.7411111115764585E-2</v>
      </c>
      <c r="CZ25" s="142">
        <f t="shared" si="68"/>
        <v>1.7411111115764585E-2</v>
      </c>
      <c r="DA25" s="142">
        <f t="shared" si="68"/>
        <v>1.7411111115764585E-2</v>
      </c>
      <c r="DB25" s="142">
        <f t="shared" si="68"/>
        <v>1.7411111115764585E-2</v>
      </c>
      <c r="DC25" s="142">
        <f t="shared" si="68"/>
        <v>1.7411111115764585E-2</v>
      </c>
      <c r="DD25" s="142">
        <f t="shared" si="68"/>
        <v>1.7411111115764585E-2</v>
      </c>
      <c r="DE25" s="142">
        <f t="shared" si="68"/>
        <v>1.7411111115764585E-2</v>
      </c>
      <c r="DF25" s="142">
        <f t="shared" si="68"/>
        <v>1.7411111115764585E-2</v>
      </c>
      <c r="DG25" s="142">
        <f t="shared" si="68"/>
        <v>1.7411111115764585E-2</v>
      </c>
      <c r="DH25" s="142">
        <f t="shared" si="68"/>
        <v>1.7411111115764585E-2</v>
      </c>
      <c r="DI25" s="142">
        <f t="shared" si="68"/>
        <v>1.7411111115764585E-2</v>
      </c>
      <c r="DJ25" s="142">
        <f t="shared" si="68"/>
        <v>1.7411111115764585E-2</v>
      </c>
      <c r="DK25" s="142">
        <f t="shared" si="68"/>
        <v>1.7411111115764585E-2</v>
      </c>
      <c r="DL25" s="142">
        <f t="shared" si="68"/>
        <v>1.7411111115764585E-2</v>
      </c>
      <c r="DM25" s="142">
        <f t="shared" ref="DM25:DV25" si="78">IF(DM$9&lt;=$K$6,RATE($K$6,1,DM52,0),"")</f>
        <v>1.7411111115764585E-2</v>
      </c>
      <c r="DN25" s="142">
        <f t="shared" si="78"/>
        <v>1.7411111115764585E-2</v>
      </c>
      <c r="DO25" s="142">
        <f t="shared" si="78"/>
        <v>1.7411111115764585E-2</v>
      </c>
      <c r="DP25" s="142">
        <f t="shared" si="78"/>
        <v>1.7411111115764585E-2</v>
      </c>
      <c r="DQ25" s="142">
        <f t="shared" si="78"/>
        <v>1.7411111115764585E-2</v>
      </c>
      <c r="DR25" s="142">
        <f t="shared" si="78"/>
        <v>1.7411111115764585E-2</v>
      </c>
      <c r="DS25" s="142">
        <f t="shared" si="78"/>
        <v>1.7411111115764585E-2</v>
      </c>
      <c r="DT25" s="142">
        <f t="shared" si="78"/>
        <v>1.7411111115764585E-2</v>
      </c>
      <c r="DU25" s="142">
        <f t="shared" si="78"/>
        <v>1.7411111115764585E-2</v>
      </c>
      <c r="DV25" s="142">
        <f t="shared" si="78"/>
        <v>1.7411111115764585E-2</v>
      </c>
      <c r="DW25" s="48">
        <f t="shared" ref="DW25:ET25" si="79">IF(DW$9&lt;=$K$6,RATE($K$6,1,DW52,0),"")</f>
        <v>1.7411111115764585E-2</v>
      </c>
      <c r="DX25" s="48">
        <f t="shared" si="79"/>
        <v>1.7411111115764585E-2</v>
      </c>
      <c r="DY25" s="48">
        <f t="shared" si="79"/>
        <v>1.7411111115764585E-2</v>
      </c>
      <c r="DZ25" s="48">
        <f t="shared" si="79"/>
        <v>1.7411111115764585E-2</v>
      </c>
      <c r="EA25" s="48">
        <f t="shared" si="79"/>
        <v>1.7411111115764585E-2</v>
      </c>
      <c r="EB25" s="48">
        <f t="shared" si="79"/>
        <v>1.7411111115764585E-2</v>
      </c>
      <c r="EC25" s="48">
        <f t="shared" si="79"/>
        <v>1.7411111115764585E-2</v>
      </c>
      <c r="ED25" s="48">
        <f t="shared" si="79"/>
        <v>1.7411111115764585E-2</v>
      </c>
      <c r="EE25" s="48">
        <f t="shared" si="79"/>
        <v>1.7411111115764585E-2</v>
      </c>
      <c r="EF25" s="48">
        <f t="shared" si="79"/>
        <v>1.7411111115764585E-2</v>
      </c>
      <c r="EG25" s="48">
        <f t="shared" si="79"/>
        <v>1.7411111115764585E-2</v>
      </c>
      <c r="EH25" s="48">
        <f t="shared" si="79"/>
        <v>1.7411111115764585E-2</v>
      </c>
      <c r="EI25" s="48">
        <f t="shared" si="79"/>
        <v>1.7411111115764585E-2</v>
      </c>
      <c r="EJ25" s="48">
        <f t="shared" si="79"/>
        <v>1.7411111115764585E-2</v>
      </c>
      <c r="EK25" s="48">
        <f t="shared" si="79"/>
        <v>1.7411111115764585E-2</v>
      </c>
      <c r="EL25" s="48">
        <f t="shared" si="79"/>
        <v>1.7411111115764585E-2</v>
      </c>
      <c r="EM25" s="48">
        <f t="shared" si="79"/>
        <v>1.7411111115764585E-2</v>
      </c>
      <c r="EN25" s="48">
        <f t="shared" si="79"/>
        <v>1.7411111115764585E-2</v>
      </c>
      <c r="EO25" s="48">
        <f t="shared" si="79"/>
        <v>1.7411111115764585E-2</v>
      </c>
      <c r="EP25" s="48">
        <f t="shared" si="79"/>
        <v>1.7411111115764585E-2</v>
      </c>
      <c r="EQ25" s="48">
        <f t="shared" si="79"/>
        <v>1.7411111115764585E-2</v>
      </c>
      <c r="ER25" s="48">
        <f t="shared" si="79"/>
        <v>1.7411111115764585E-2</v>
      </c>
      <c r="ES25" s="48">
        <f t="shared" si="79"/>
        <v>1.7411111115764585E-2</v>
      </c>
      <c r="ET25" s="48">
        <f t="shared" si="79"/>
        <v>1.7411111115764585E-2</v>
      </c>
      <c r="FF25" s="130" t="s">
        <v>101</v>
      </c>
      <c r="FG25" s="12">
        <v>2.7000000000000003E-2</v>
      </c>
      <c r="FH25" s="12">
        <v>96</v>
      </c>
      <c r="FI25" s="12">
        <v>1.5600000000000001E-2</v>
      </c>
      <c r="FJ25" s="82">
        <v>1.3999999999999999E-2</v>
      </c>
      <c r="FK25" s="134">
        <f t="shared" si="62"/>
        <v>7.2222222222222251E-4</v>
      </c>
      <c r="FL25">
        <f>VLOOKUP(FF25,'SIMULADOR COM SALDO'!$BF$22:$BS$268,13,FALSE)</f>
        <v>2.9000000000000001E-2</v>
      </c>
    </row>
    <row r="26" spans="5:168" ht="18" customHeight="1" x14ac:dyDescent="0.25">
      <c r="E26" s="141"/>
      <c r="F26" s="121">
        <f t="shared" si="63"/>
        <v>1.783333333333333E-2</v>
      </c>
      <c r="G26" s="52">
        <f t="shared" si="72"/>
        <v>1.909906145169071E-2</v>
      </c>
      <c r="H26" s="52">
        <f t="shared" si="74"/>
        <v>1.9097218511980155E-2</v>
      </c>
      <c r="I26" s="52">
        <f t="shared" si="74"/>
        <v>1.9094504523247912E-2</v>
      </c>
      <c r="J26" s="52">
        <f t="shared" si="74"/>
        <v>1.9090952019293301E-2</v>
      </c>
      <c r="K26" s="52">
        <f t="shared" si="74"/>
        <v>1.9086592735046971E-2</v>
      </c>
      <c r="L26" s="52">
        <f t="shared" si="74"/>
        <v>1.9081457616124491E-2</v>
      </c>
      <c r="M26" s="52">
        <f t="shared" si="74"/>
        <v>1.9075576828825044E-2</v>
      </c>
      <c r="N26" s="52">
        <f t="shared" si="74"/>
        <v>1.9068979770531118E-2</v>
      </c>
      <c r="O26" s="52">
        <f t="shared" si="74"/>
        <v>1.9061695080466911E-2</v>
      </c>
      <c r="P26" s="52">
        <f t="shared" si="74"/>
        <v>1.9053750650777898E-2</v>
      </c>
      <c r="Q26" s="52">
        <f t="shared" si="74"/>
        <v>1.9045173637893827E-2</v>
      </c>
      <c r="R26" s="52">
        <f t="shared" si="74"/>
        <v>1.9035990474139761E-2</v>
      </c>
      <c r="S26" s="52">
        <f t="shared" si="74"/>
        <v>1.9026226879562558E-2</v>
      </c>
      <c r="T26" s="52">
        <f t="shared" si="74"/>
        <v>1.901590787393893E-2</v>
      </c>
      <c r="U26" s="52">
        <f t="shared" si="74"/>
        <v>1.9005057788939437E-2</v>
      </c>
      <c r="V26" s="52">
        <f t="shared" si="74"/>
        <v>1.8993700280416474E-2</v>
      </c>
      <c r="W26" s="52">
        <f t="shared" si="74"/>
        <v>1.8981858340790869E-2</v>
      </c>
      <c r="X26" s="52">
        <f t="shared" si="74"/>
        <v>1.8969554311515015E-2</v>
      </c>
      <c r="Y26" s="52">
        <f t="shared" si="74"/>
        <v>1.8956809895583931E-2</v>
      </c>
      <c r="Z26" s="52">
        <f t="shared" si="74"/>
        <v>1.8943646170079154E-2</v>
      </c>
      <c r="AA26" s="52">
        <f t="shared" si="74"/>
        <v>1.8930083598718384E-2</v>
      </c>
      <c r="AB26" s="52">
        <f t="shared" si="74"/>
        <v>1.8916142044397025E-2</v>
      </c>
      <c r="AC26" s="52">
        <f t="shared" si="74"/>
        <v>1.8901840781701835E-2</v>
      </c>
      <c r="AD26" s="52">
        <f t="shared" si="74"/>
        <v>1.888719850938031E-2</v>
      </c>
      <c r="AE26" s="52">
        <f t="shared" si="74"/>
        <v>1.88722333627508E-2</v>
      </c>
      <c r="AF26" s="52">
        <f t="shared" si="74"/>
        <v>1.8856962926039885E-2</v>
      </c>
      <c r="AG26" s="52">
        <f t="shared" si="74"/>
        <v>1.8841404244633649E-2</v>
      </c>
      <c r="AH26" s="52">
        <f t="shared" si="74"/>
        <v>1.8825573837230235E-2</v>
      </c>
      <c r="AI26" s="52">
        <f t="shared" si="74"/>
        <v>1.8809487707884862E-2</v>
      </c>
      <c r="AJ26" s="52">
        <f t="shared" si="74"/>
        <v>1.8793161357934771E-2</v>
      </c>
      <c r="AK26" s="52">
        <f t="shared" si="74"/>
        <v>1.8776609797796755E-2</v>
      </c>
      <c r="AL26" s="52">
        <f t="shared" si="74"/>
        <v>1.8759847558629465E-2</v>
      </c>
      <c r="AM26" s="52">
        <f t="shared" si="74"/>
        <v>1.8742888703850939E-2</v>
      </c>
      <c r="AN26" s="52">
        <f t="shared" si="74"/>
        <v>1.8725746840506811E-2</v>
      </c>
      <c r="AO26" s="52">
        <f t="shared" si="74"/>
        <v>1.8708435130482873E-2</v>
      </c>
      <c r="AP26" s="52">
        <f t="shared" si="74"/>
        <v>1.869096630155553E-2</v>
      </c>
      <c r="AQ26" s="52">
        <f t="shared" si="74"/>
        <v>1.867335265827666E-2</v>
      </c>
      <c r="AR26" s="52">
        <f t="shared" si="74"/>
        <v>1.8655606092689667E-2</v>
      </c>
      <c r="AS26" s="52">
        <f t="shared" si="74"/>
        <v>1.8637738094870099E-2</v>
      </c>
      <c r="AT26" s="52">
        <f t="shared" si="74"/>
        <v>1.8619759763292207E-2</v>
      </c>
      <c r="AU26" s="52">
        <f t="shared" si="74"/>
        <v>1.8601681815015224E-2</v>
      </c>
      <c r="AV26" s="52">
        <f t="shared" si="74"/>
        <v>1.8583514595689615E-2</v>
      </c>
      <c r="AW26" s="52">
        <f t="shared" si="74"/>
        <v>1.8565268089381318E-2</v>
      </c>
      <c r="AX26" s="52">
        <f t="shared" si="74"/>
        <v>1.8546951928212145E-2</v>
      </c>
      <c r="AY26" s="52">
        <f t="shared" si="74"/>
        <v>1.852857540181559E-2</v>
      </c>
      <c r="AZ26" s="52">
        <f t="shared" si="74"/>
        <v>1.8510147466609905E-2</v>
      </c>
      <c r="BA26" s="52">
        <f t="shared" si="74"/>
        <v>1.8491676754883696E-2</v>
      </c>
      <c r="BB26" s="52">
        <f t="shared" si="74"/>
        <v>1.8473171583699603E-2</v>
      </c>
      <c r="BC26" s="52">
        <f t="shared" si="74"/>
        <v>1.8454639963612223E-2</v>
      </c>
      <c r="BD26" s="52">
        <f t="shared" si="74"/>
        <v>1.8436089607203072E-2</v>
      </c>
      <c r="BE26" s="52">
        <f t="shared" si="74"/>
        <v>1.8417527937433804E-2</v>
      </c>
      <c r="BF26" s="52">
        <f t="shared" si="74"/>
        <v>1.8398962095817602E-2</v>
      </c>
      <c r="BG26" s="52">
        <f t="shared" si="74"/>
        <v>1.838039895041017E-2</v>
      </c>
      <c r="BH26" s="52">
        <f t="shared" si="74"/>
        <v>1.8361845103623556E-2</v>
      </c>
      <c r="BI26" s="52">
        <f t="shared" si="74"/>
        <v>1.8343306899861946E-2</v>
      </c>
      <c r="BJ26" s="52">
        <f t="shared" si="74"/>
        <v>1.8324790432984277E-2</v>
      </c>
      <c r="BK26" s="52">
        <f t="shared" si="74"/>
        <v>1.8306301553592474E-2</v>
      </c>
      <c r="BL26" s="52">
        <f t="shared" si="74"/>
        <v>1.8287845876149088E-2</v>
      </c>
      <c r="BM26" s="52">
        <f t="shared" si="74"/>
        <v>1.826942878592764E-2</v>
      </c>
      <c r="BN26" s="52">
        <f t="shared" si="74"/>
        <v>1.8251055445795018E-2</v>
      </c>
      <c r="BO26" s="52">
        <f t="shared" si="74"/>
        <v>1.8232730802831328E-2</v>
      </c>
      <c r="BP26" s="52">
        <f t="shared" si="74"/>
        <v>1.8214459594787277E-2</v>
      </c>
      <c r="BQ26" s="52">
        <f t="shared" si="74"/>
        <v>1.8196246356383054E-2</v>
      </c>
      <c r="BR26" s="52">
        <f t="shared" ref="BR26" si="80">IF(BR$9&lt;=$K$6,RATE($K$6,1,BR53,0),"")</f>
        <v>1.8178095425451117E-2</v>
      </c>
      <c r="BS26" s="52">
        <f t="shared" si="76"/>
        <v>1.8160010948924485E-2</v>
      </c>
      <c r="BT26" s="52">
        <f t="shared" si="76"/>
        <v>1.8141996888674735E-2</v>
      </c>
      <c r="BU26" s="52">
        <f t="shared" si="76"/>
        <v>1.812405702720056E-2</v>
      </c>
      <c r="BV26" s="52">
        <f t="shared" si="76"/>
        <v>1.8106194973171764E-2</v>
      </c>
      <c r="BW26" s="52">
        <f t="shared" si="76"/>
        <v>1.8088414166829721E-2</v>
      </c>
      <c r="BX26" s="52">
        <f t="shared" si="76"/>
        <v>1.8070717885246321E-2</v>
      </c>
      <c r="BY26" s="52">
        <f t="shared" si="76"/>
        <v>1.8053109247448299E-2</v>
      </c>
      <c r="BZ26" s="52">
        <f t="shared" si="76"/>
        <v>1.8035591219403378E-2</v>
      </c>
      <c r="CA26" s="52">
        <f t="shared" si="76"/>
        <v>1.8018166618876973E-2</v>
      </c>
      <c r="CB26" s="52">
        <f t="shared" si="76"/>
        <v>1.800083812015842E-2</v>
      </c>
      <c r="CC26" s="52">
        <f t="shared" si="76"/>
        <v>1.7983608258660029E-2</v>
      </c>
      <c r="CD26" s="52">
        <f t="shared" si="76"/>
        <v>1.7966479435394103E-2</v>
      </c>
      <c r="CE26" s="52">
        <f t="shared" si="76"/>
        <v>1.7949453921326134E-2</v>
      </c>
      <c r="CF26" s="52">
        <f t="shared" si="76"/>
        <v>1.7932533861612216E-2</v>
      </c>
      <c r="CG26" s="52">
        <f t="shared" si="76"/>
        <v>1.7915721279718376E-2</v>
      </c>
      <c r="CH26" s="52">
        <f t="shared" si="76"/>
        <v>1.7899018081427704E-2</v>
      </c>
      <c r="CI26" s="52">
        <f t="shared" si="76"/>
        <v>1.7882426058735874E-2</v>
      </c>
      <c r="CJ26" s="52">
        <f t="shared" si="76"/>
        <v>1.7865946893639899E-2</v>
      </c>
      <c r="CK26" s="52">
        <f t="shared" si="76"/>
        <v>1.7849582161820182E-2</v>
      </c>
      <c r="CL26" s="52">
        <f t="shared" si="76"/>
        <v>1.783333333621864E-2</v>
      </c>
      <c r="CM26" s="52">
        <f t="shared" si="76"/>
        <v>1.783333333621864E-2</v>
      </c>
      <c r="CN26" s="52">
        <f t="shared" si="76"/>
        <v>1.783333333621864E-2</v>
      </c>
      <c r="CO26" s="52">
        <f t="shared" si="76"/>
        <v>1.783333333621864E-2</v>
      </c>
      <c r="CP26" s="52">
        <f t="shared" si="76"/>
        <v>1.783333333621864E-2</v>
      </c>
      <c r="CQ26" s="52">
        <f t="shared" si="76"/>
        <v>1.783333333621864E-2</v>
      </c>
      <c r="CR26" s="52">
        <f t="shared" si="76"/>
        <v>1.783333333621864E-2</v>
      </c>
      <c r="CS26" s="52">
        <f t="shared" si="76"/>
        <v>1.783333333621864E-2</v>
      </c>
      <c r="CT26" s="52">
        <f t="shared" si="76"/>
        <v>1.783333333621864E-2</v>
      </c>
      <c r="CU26" s="52">
        <f t="shared" si="76"/>
        <v>1.783333333621864E-2</v>
      </c>
      <c r="CV26" s="52">
        <f t="shared" si="76"/>
        <v>1.783333333621864E-2</v>
      </c>
      <c r="CW26" s="52">
        <f t="shared" si="76"/>
        <v>1.783333333621864E-2</v>
      </c>
      <c r="CX26" s="52">
        <f t="shared" si="76"/>
        <v>1.783333333621864E-2</v>
      </c>
      <c r="CY26" s="142">
        <f t="shared" ref="CY26:DV29" si="81">IF(CY$9&lt;=$K$6,RATE($K$6,1,CY53,0),"")</f>
        <v>1.783333333621864E-2</v>
      </c>
      <c r="CZ26" s="142">
        <f t="shared" si="81"/>
        <v>1.783333333621864E-2</v>
      </c>
      <c r="DA26" s="142">
        <f t="shared" si="81"/>
        <v>1.783333333621864E-2</v>
      </c>
      <c r="DB26" s="142">
        <f t="shared" si="81"/>
        <v>1.783333333621864E-2</v>
      </c>
      <c r="DC26" s="142">
        <f t="shared" si="81"/>
        <v>1.783333333621864E-2</v>
      </c>
      <c r="DD26" s="142">
        <f t="shared" si="81"/>
        <v>1.783333333621864E-2</v>
      </c>
      <c r="DE26" s="142">
        <f t="shared" si="81"/>
        <v>1.783333333621864E-2</v>
      </c>
      <c r="DF26" s="142">
        <f t="shared" si="81"/>
        <v>1.783333333621864E-2</v>
      </c>
      <c r="DG26" s="142">
        <f t="shared" si="81"/>
        <v>1.783333333621864E-2</v>
      </c>
      <c r="DH26" s="142">
        <f t="shared" si="81"/>
        <v>1.783333333621864E-2</v>
      </c>
      <c r="DI26" s="142">
        <f t="shared" si="81"/>
        <v>1.783333333621864E-2</v>
      </c>
      <c r="DJ26" s="142">
        <f t="shared" si="81"/>
        <v>1.783333333621864E-2</v>
      </c>
      <c r="DK26" s="142">
        <f t="shared" si="81"/>
        <v>1.783333333621864E-2</v>
      </c>
      <c r="DL26" s="142">
        <f t="shared" si="81"/>
        <v>1.783333333621864E-2</v>
      </c>
      <c r="DM26" s="142">
        <f t="shared" si="81"/>
        <v>1.783333333621864E-2</v>
      </c>
      <c r="DN26" s="142">
        <f t="shared" si="81"/>
        <v>1.783333333621864E-2</v>
      </c>
      <c r="DO26" s="142">
        <f t="shared" si="81"/>
        <v>1.783333333621864E-2</v>
      </c>
      <c r="DP26" s="142">
        <f t="shared" si="81"/>
        <v>1.783333333621864E-2</v>
      </c>
      <c r="DQ26" s="142">
        <f t="shared" si="81"/>
        <v>1.783333333621864E-2</v>
      </c>
      <c r="DR26" s="142">
        <f t="shared" si="81"/>
        <v>1.783333333621864E-2</v>
      </c>
      <c r="DS26" s="142">
        <f t="shared" si="81"/>
        <v>1.783333333621864E-2</v>
      </c>
      <c r="DT26" s="142">
        <f t="shared" si="81"/>
        <v>1.783333333621864E-2</v>
      </c>
      <c r="DU26" s="142">
        <f t="shared" si="81"/>
        <v>1.783333333621864E-2</v>
      </c>
      <c r="DV26" s="142">
        <f t="shared" si="81"/>
        <v>1.783333333621864E-2</v>
      </c>
      <c r="DW26" s="48">
        <f t="shared" ref="DW26:ET26" si="82">IF(DW$9&lt;=$K$6,RATE($K$6,1,DW53,0),"")</f>
        <v>1.783333333621864E-2</v>
      </c>
      <c r="DX26" s="48">
        <f t="shared" si="82"/>
        <v>1.783333333621864E-2</v>
      </c>
      <c r="DY26" s="48">
        <f t="shared" si="82"/>
        <v>1.783333333621864E-2</v>
      </c>
      <c r="DZ26" s="48">
        <f t="shared" si="82"/>
        <v>1.783333333621864E-2</v>
      </c>
      <c r="EA26" s="48">
        <f t="shared" si="82"/>
        <v>1.783333333621864E-2</v>
      </c>
      <c r="EB26" s="48">
        <f t="shared" si="82"/>
        <v>1.783333333621864E-2</v>
      </c>
      <c r="EC26" s="48">
        <f t="shared" si="82"/>
        <v>1.783333333621864E-2</v>
      </c>
      <c r="ED26" s="48">
        <f t="shared" si="82"/>
        <v>1.783333333621864E-2</v>
      </c>
      <c r="EE26" s="48">
        <f t="shared" si="82"/>
        <v>1.783333333621864E-2</v>
      </c>
      <c r="EF26" s="48">
        <f t="shared" si="82"/>
        <v>1.783333333621864E-2</v>
      </c>
      <c r="EG26" s="48">
        <f t="shared" si="82"/>
        <v>1.783333333621864E-2</v>
      </c>
      <c r="EH26" s="48">
        <f t="shared" si="82"/>
        <v>1.783333333621864E-2</v>
      </c>
      <c r="EI26" s="48">
        <f t="shared" si="82"/>
        <v>1.783333333621864E-2</v>
      </c>
      <c r="EJ26" s="48">
        <f t="shared" si="82"/>
        <v>1.783333333621864E-2</v>
      </c>
      <c r="EK26" s="48">
        <f t="shared" si="82"/>
        <v>1.783333333621864E-2</v>
      </c>
      <c r="EL26" s="48">
        <f t="shared" si="82"/>
        <v>1.783333333621864E-2</v>
      </c>
      <c r="EM26" s="48">
        <f t="shared" si="82"/>
        <v>1.783333333621864E-2</v>
      </c>
      <c r="EN26" s="48">
        <f t="shared" si="82"/>
        <v>1.783333333621864E-2</v>
      </c>
      <c r="EO26" s="48">
        <f t="shared" si="82"/>
        <v>1.783333333621864E-2</v>
      </c>
      <c r="EP26" s="48">
        <f t="shared" si="82"/>
        <v>1.783333333621864E-2</v>
      </c>
      <c r="EQ26" s="48">
        <f t="shared" si="82"/>
        <v>1.783333333621864E-2</v>
      </c>
      <c r="ER26" s="48">
        <f t="shared" si="82"/>
        <v>1.783333333621864E-2</v>
      </c>
      <c r="ES26" s="48">
        <f t="shared" si="82"/>
        <v>1.783333333621864E-2</v>
      </c>
      <c r="ET26" s="48">
        <f t="shared" si="82"/>
        <v>1.783333333621864E-2</v>
      </c>
      <c r="EY26" t="s">
        <v>127</v>
      </c>
      <c r="EZ26" s="8">
        <v>1.2800000000000001E-2</v>
      </c>
      <c r="FA26" s="47">
        <f>VLOOKUP(EY26,$EY$11:$FC$24,5,FALSE)</f>
        <v>1.9E-2</v>
      </c>
      <c r="FB26" s="8">
        <f>(FA26-EZ26)/18</f>
        <v>3.4444444444444437E-4</v>
      </c>
      <c r="FF26" s="130" t="s">
        <v>151</v>
      </c>
      <c r="FG26" s="12">
        <v>2.1000000000000001E-2</v>
      </c>
      <c r="FH26" s="12">
        <v>96</v>
      </c>
      <c r="FI26" s="12">
        <v>2.0499999999999997E-2</v>
      </c>
      <c r="FJ26" s="82">
        <v>1.7500000000000002E-2</v>
      </c>
      <c r="FK26" s="134">
        <f t="shared" si="62"/>
        <v>1.9444444444444443E-4</v>
      </c>
      <c r="FL26">
        <f>VLOOKUP(FF26,'SIMULADOR COM SALDO'!$BF$22:$BS$268,13,FALSE)</f>
        <v>2.1000000000000001E-2</v>
      </c>
    </row>
    <row r="27" spans="5:168" ht="18" customHeight="1" x14ac:dyDescent="0.25">
      <c r="E27" s="141"/>
      <c r="F27" s="121">
        <f t="shared" si="63"/>
        <v>1.8255555555555553E-2</v>
      </c>
      <c r="G27" s="52">
        <f t="shared" si="72"/>
        <v>1.9099374556065155E-2</v>
      </c>
      <c r="H27" s="52">
        <f t="shared" ref="H27:BR29" si="83">IF(H$9&lt;=$K$6,RATE($K$6,1,H54,0),"")</f>
        <v>1.9098146657050015E-2</v>
      </c>
      <c r="I27" s="52">
        <f t="shared" si="83"/>
        <v>1.9096338711420847E-2</v>
      </c>
      <c r="J27" s="52">
        <f t="shared" si="83"/>
        <v>1.909397255389347E-2</v>
      </c>
      <c r="K27" s="52">
        <f t="shared" si="83"/>
        <v>1.9091069455420859E-2</v>
      </c>
      <c r="L27" s="52">
        <f t="shared" si="83"/>
        <v>1.9087650132639484E-2</v>
      </c>
      <c r="M27" s="52">
        <f t="shared" si="83"/>
        <v>1.908373475740004E-2</v>
      </c>
      <c r="N27" s="52">
        <f t="shared" si="83"/>
        <v>1.9079342966365341E-2</v>
      </c>
      <c r="O27" s="52">
        <f t="shared" si="83"/>
        <v>1.9074493870656253E-2</v>
      </c>
      <c r="P27" s="52">
        <f t="shared" si="83"/>
        <v>1.9069206065532546E-2</v>
      </c>
      <c r="Q27" s="52">
        <f t="shared" si="83"/>
        <v>1.9063497640090053E-2</v>
      </c>
      <c r="R27" s="52">
        <f t="shared" si="83"/>
        <v>1.9057386186963742E-2</v>
      </c>
      <c r="S27" s="52">
        <f t="shared" si="83"/>
        <v>1.9050888812020581E-2</v>
      </c>
      <c r="T27" s="52">
        <f t="shared" si="83"/>
        <v>1.9044022144031451E-2</v>
      </c>
      <c r="U27" s="52">
        <f t="shared" si="83"/>
        <v>1.9036802344310016E-2</v>
      </c>
      <c r="V27" s="52">
        <f t="shared" si="83"/>
        <v>1.9029245116307835E-2</v>
      </c>
      <c r="W27" s="52">
        <f t="shared" si="83"/>
        <v>1.9021365715156759E-2</v>
      </c>
      <c r="X27" s="52">
        <f t="shared" si="83"/>
        <v>1.9013178957148213E-2</v>
      </c>
      <c r="Y27" s="52">
        <f t="shared" si="83"/>
        <v>1.9004699229141591E-2</v>
      </c>
      <c r="Z27" s="52">
        <f t="shared" si="83"/>
        <v>1.8995940497894021E-2</v>
      </c>
      <c r="AA27" s="52">
        <f t="shared" si="83"/>
        <v>1.898691631930377E-2</v>
      </c>
      <c r="AB27" s="52">
        <f t="shared" si="83"/>
        <v>1.8977639847562233E-2</v>
      </c>
      <c r="AC27" s="52">
        <f t="shared" si="83"/>
        <v>1.896812384420626E-2</v>
      </c>
      <c r="AD27" s="52">
        <f t="shared" si="83"/>
        <v>1.8958380687067334E-2</v>
      </c>
      <c r="AE27" s="52">
        <f t="shared" si="83"/>
        <v>1.8948422379112845E-2</v>
      </c>
      <c r="AF27" s="52">
        <f t="shared" si="83"/>
        <v>1.8938260557172661E-2</v>
      </c>
      <c r="AG27" s="52">
        <f t="shared" si="83"/>
        <v>1.8927906500550658E-2</v>
      </c>
      <c r="AH27" s="52">
        <f t="shared" si="83"/>
        <v>1.8917371139514111E-2</v>
      </c>
      <c r="AI27" s="52">
        <f t="shared" si="83"/>
        <v>1.8906665063660802E-2</v>
      </c>
      <c r="AJ27" s="52">
        <f t="shared" si="83"/>
        <v>1.8895798530159321E-2</v>
      </c>
      <c r="AK27" s="52">
        <f t="shared" si="83"/>
        <v>1.8884781471861213E-2</v>
      </c>
      <c r="AL27" s="52">
        <f t="shared" si="83"/>
        <v>1.8873623505282145E-2</v>
      </c>
      <c r="AM27" s="52">
        <f t="shared" si="83"/>
        <v>1.8862333938452366E-2</v>
      </c>
      <c r="AN27" s="52">
        <f t="shared" si="83"/>
        <v>1.8850921778631576E-2</v>
      </c>
      <c r="AO27" s="52">
        <f t="shared" si="83"/>
        <v>1.8839395739891268E-2</v>
      </c>
      <c r="AP27" s="52">
        <f t="shared" si="83"/>
        <v>1.8827764250561214E-2</v>
      </c>
      <c r="AQ27" s="52">
        <f t="shared" si="83"/>
        <v>1.8816035460539546E-2</v>
      </c>
      <c r="AR27" s="52">
        <f t="shared" si="83"/>
        <v>1.8804217248467339E-2</v>
      </c>
      <c r="AS27" s="52">
        <f t="shared" si="83"/>
        <v>1.8792317228767296E-2</v>
      </c>
      <c r="AT27" s="52">
        <f t="shared" si="83"/>
        <v>1.8780342758545735E-2</v>
      </c>
      <c r="AU27" s="52">
        <f t="shared" si="83"/>
        <v>1.8768300944358829E-2</v>
      </c>
      <c r="AV27" s="52">
        <f t="shared" si="83"/>
        <v>1.8756198648843904E-2</v>
      </c>
      <c r="AW27" s="52">
        <f t="shared" si="83"/>
        <v>1.8744042497216187E-2</v>
      </c>
      <c r="AX27" s="52">
        <f t="shared" si="83"/>
        <v>1.8731838883630902E-2</v>
      </c>
      <c r="AY27" s="52">
        <f t="shared" si="83"/>
        <v>1.8719593977413244E-2</v>
      </c>
      <c r="AZ27" s="52">
        <f t="shared" si="83"/>
        <v>1.8707313729155302E-2</v>
      </c>
      <c r="BA27" s="52">
        <f t="shared" si="83"/>
        <v>1.8695003876683713E-2</v>
      </c>
      <c r="BB27" s="52">
        <f t="shared" si="83"/>
        <v>1.8682669950896166E-2</v>
      </c>
      <c r="BC27" s="52">
        <f t="shared" si="83"/>
        <v>1.8670317281470065E-2</v>
      </c>
      <c r="BD27" s="52">
        <f t="shared" si="83"/>
        <v>1.8657951002445283E-2</v>
      </c>
      <c r="BE27" s="52">
        <f t="shared" si="83"/>
        <v>1.864557605768084E-2</v>
      </c>
      <c r="BF27" s="52">
        <f t="shared" si="83"/>
        <v>1.8633197206187412E-2</v>
      </c>
      <c r="BG27" s="52">
        <f t="shared" si="83"/>
        <v>1.862081902733833E-2</v>
      </c>
      <c r="BH27" s="52">
        <f t="shared" si="83"/>
        <v>1.8608445925960532E-2</v>
      </c>
      <c r="BI27" s="52">
        <f t="shared" si="83"/>
        <v>1.85960821373054E-2</v>
      </c>
      <c r="BJ27" s="52">
        <f t="shared" si="83"/>
        <v>1.8583731731904172E-2</v>
      </c>
      <c r="BK27" s="52">
        <f t="shared" si="83"/>
        <v>1.8571398620307621E-2</v>
      </c>
      <c r="BL27" s="52">
        <f t="shared" si="83"/>
        <v>1.8559086557711501E-2</v>
      </c>
      <c r="BM27" s="52">
        <f t="shared" si="83"/>
        <v>1.8546799148472237E-2</v>
      </c>
      <c r="BN27" s="52">
        <f t="shared" si="83"/>
        <v>1.8534539850512191E-2</v>
      </c>
      <c r="BO27" s="52">
        <f t="shared" si="83"/>
        <v>1.8522311979616644E-2</v>
      </c>
      <c r="BP27" s="52">
        <f t="shared" si="83"/>
        <v>1.8510118713626199E-2</v>
      </c>
      <c r="BQ27" s="52">
        <f t="shared" si="83"/>
        <v>1.84979630965252E-2</v>
      </c>
      <c r="BR27" s="52">
        <f t="shared" si="83"/>
        <v>1.848584804242677E-2</v>
      </c>
      <c r="BS27" s="52">
        <f t="shared" si="76"/>
        <v>1.8473776339459885E-2</v>
      </c>
      <c r="BT27" s="52">
        <f t="shared" si="76"/>
        <v>1.8461750653557076E-2</v>
      </c>
      <c r="BU27" s="52">
        <f t="shared" si="76"/>
        <v>1.8449773532146878E-2</v>
      </c>
      <c r="BV27" s="52">
        <f t="shared" si="76"/>
        <v>1.8437847407750476E-2</v>
      </c>
      <c r="BW27" s="52">
        <f t="shared" si="76"/>
        <v>1.8425974601488548E-2</v>
      </c>
      <c r="BX27" s="52">
        <f t="shared" si="76"/>
        <v>1.8414157326495123E-2</v>
      </c>
      <c r="BY27" s="52">
        <f t="shared" si="76"/>
        <v>1.8402397691244549E-2</v>
      </c>
      <c r="BZ27" s="52">
        <f t="shared" si="76"/>
        <v>1.8390697702791059E-2</v>
      </c>
      <c r="CA27" s="52">
        <f t="shared" si="76"/>
        <v>1.8379059269923583E-2</v>
      </c>
      <c r="CB27" s="52">
        <f t="shared" si="76"/>
        <v>1.8367484206238252E-2</v>
      </c>
      <c r="CC27" s="52">
        <f t="shared" si="76"/>
        <v>1.8355974233128361E-2</v>
      </c>
      <c r="CD27" s="52">
        <f t="shared" si="76"/>
        <v>1.8344530982695919E-2</v>
      </c>
      <c r="CE27" s="52">
        <f t="shared" si="76"/>
        <v>1.8333156000585975E-2</v>
      </c>
      <c r="CF27" s="52">
        <f t="shared" si="76"/>
        <v>1.8321850748743096E-2</v>
      </c>
      <c r="CG27" s="52">
        <f t="shared" si="76"/>
        <v>1.8310616608096859E-2</v>
      </c>
      <c r="CH27" s="52">
        <f t="shared" si="76"/>
        <v>1.8299454881171077E-2</v>
      </c>
      <c r="CI27" s="52">
        <f t="shared" si="76"/>
        <v>1.8288366794625491E-2</v>
      </c>
      <c r="CJ27" s="52">
        <f t="shared" si="76"/>
        <v>1.827735350172658E-2</v>
      </c>
      <c r="CK27" s="52">
        <f t="shared" si="76"/>
        <v>1.8266416084751744E-2</v>
      </c>
      <c r="CL27" s="52">
        <f t="shared" si="76"/>
        <v>1.8255555557325963E-2</v>
      </c>
      <c r="CM27" s="52">
        <f t="shared" si="76"/>
        <v>1.8255555557325963E-2</v>
      </c>
      <c r="CN27" s="52">
        <f t="shared" si="76"/>
        <v>1.8255555557325963E-2</v>
      </c>
      <c r="CO27" s="52">
        <f t="shared" si="76"/>
        <v>1.8255555557325963E-2</v>
      </c>
      <c r="CP27" s="52">
        <f t="shared" si="76"/>
        <v>1.8255555557325963E-2</v>
      </c>
      <c r="CQ27" s="52">
        <f t="shared" si="76"/>
        <v>1.8255555557325963E-2</v>
      </c>
      <c r="CR27" s="52">
        <f t="shared" si="76"/>
        <v>1.8255555557325963E-2</v>
      </c>
      <c r="CS27" s="52">
        <f t="shared" si="76"/>
        <v>1.8255555557325963E-2</v>
      </c>
      <c r="CT27" s="52">
        <f t="shared" si="76"/>
        <v>1.8255555557325963E-2</v>
      </c>
      <c r="CU27" s="52">
        <f t="shared" si="76"/>
        <v>1.8255555557325963E-2</v>
      </c>
      <c r="CV27" s="52">
        <f t="shared" si="76"/>
        <v>1.8255555557325963E-2</v>
      </c>
      <c r="CW27" s="52">
        <f t="shared" si="76"/>
        <v>1.8255555557325963E-2</v>
      </c>
      <c r="CX27" s="52">
        <f t="shared" si="76"/>
        <v>1.8255555557325963E-2</v>
      </c>
      <c r="CY27" s="142">
        <f t="shared" si="81"/>
        <v>1.8255555557325963E-2</v>
      </c>
      <c r="CZ27" s="142">
        <f t="shared" si="81"/>
        <v>1.8255555557325963E-2</v>
      </c>
      <c r="DA27" s="142">
        <f t="shared" si="81"/>
        <v>1.8255555557325963E-2</v>
      </c>
      <c r="DB27" s="142">
        <f t="shared" si="81"/>
        <v>1.8255555557325963E-2</v>
      </c>
      <c r="DC27" s="142">
        <f t="shared" si="81"/>
        <v>1.8255555557325963E-2</v>
      </c>
      <c r="DD27" s="142">
        <f t="shared" si="81"/>
        <v>1.8255555557325963E-2</v>
      </c>
      <c r="DE27" s="142">
        <f t="shared" si="81"/>
        <v>1.8255555557325963E-2</v>
      </c>
      <c r="DF27" s="142">
        <f t="shared" si="81"/>
        <v>1.8255555557325963E-2</v>
      </c>
      <c r="DG27" s="142">
        <f t="shared" si="81"/>
        <v>1.8255555557325963E-2</v>
      </c>
      <c r="DH27" s="142">
        <f t="shared" si="81"/>
        <v>1.8255555557325963E-2</v>
      </c>
      <c r="DI27" s="142">
        <f t="shared" si="81"/>
        <v>1.8255555557325963E-2</v>
      </c>
      <c r="DJ27" s="142">
        <f t="shared" si="81"/>
        <v>1.8255555557325963E-2</v>
      </c>
      <c r="DK27" s="142">
        <f t="shared" si="81"/>
        <v>1.8255555557325963E-2</v>
      </c>
      <c r="DL27" s="142">
        <f t="shared" si="81"/>
        <v>1.8255555557325963E-2</v>
      </c>
      <c r="DM27" s="142">
        <f t="shared" si="81"/>
        <v>1.8255555557325963E-2</v>
      </c>
      <c r="DN27" s="142">
        <f t="shared" si="81"/>
        <v>1.8255555557325963E-2</v>
      </c>
      <c r="DO27" s="142">
        <f t="shared" si="81"/>
        <v>1.8255555557325963E-2</v>
      </c>
      <c r="DP27" s="142">
        <f t="shared" si="81"/>
        <v>1.8255555557325963E-2</v>
      </c>
      <c r="DQ27" s="142">
        <f t="shared" si="81"/>
        <v>1.8255555557325963E-2</v>
      </c>
      <c r="DR27" s="142">
        <f t="shared" si="81"/>
        <v>1.8255555557325963E-2</v>
      </c>
      <c r="DS27" s="142">
        <f t="shared" si="81"/>
        <v>1.8255555557325963E-2</v>
      </c>
      <c r="DT27" s="142">
        <f t="shared" si="81"/>
        <v>1.8255555557325963E-2</v>
      </c>
      <c r="DU27" s="142">
        <f t="shared" si="81"/>
        <v>1.8255555557325963E-2</v>
      </c>
      <c r="DV27" s="142">
        <f t="shared" si="81"/>
        <v>1.8255555557325963E-2</v>
      </c>
      <c r="DW27" s="48">
        <f t="shared" ref="DW27:ET27" si="84">IF(DW$9&lt;=$K$6,RATE($K$6,1,DW54,0),"")</f>
        <v>1.8255555557325963E-2</v>
      </c>
      <c r="DX27" s="48">
        <f t="shared" si="84"/>
        <v>1.8255555557325963E-2</v>
      </c>
      <c r="DY27" s="48">
        <f t="shared" si="84"/>
        <v>1.8255555557325963E-2</v>
      </c>
      <c r="DZ27" s="48">
        <f t="shared" si="84"/>
        <v>1.8255555557325963E-2</v>
      </c>
      <c r="EA27" s="48">
        <f t="shared" si="84"/>
        <v>1.8255555557325963E-2</v>
      </c>
      <c r="EB27" s="48">
        <f t="shared" si="84"/>
        <v>1.8255555557325963E-2</v>
      </c>
      <c r="EC27" s="48">
        <f t="shared" si="84"/>
        <v>1.8255555557325963E-2</v>
      </c>
      <c r="ED27" s="48">
        <f t="shared" si="84"/>
        <v>1.8255555557325963E-2</v>
      </c>
      <c r="EE27" s="48">
        <f t="shared" si="84"/>
        <v>1.8255555557325963E-2</v>
      </c>
      <c r="EF27" s="48">
        <f t="shared" si="84"/>
        <v>1.8255555557325963E-2</v>
      </c>
      <c r="EG27" s="48">
        <f t="shared" si="84"/>
        <v>1.8255555557325963E-2</v>
      </c>
      <c r="EH27" s="48">
        <f t="shared" si="84"/>
        <v>1.8255555557325963E-2</v>
      </c>
      <c r="EI27" s="48">
        <f t="shared" si="84"/>
        <v>1.8255555557325963E-2</v>
      </c>
      <c r="EJ27" s="48">
        <f t="shared" si="84"/>
        <v>1.8255555557325963E-2</v>
      </c>
      <c r="EK27" s="48">
        <f t="shared" si="84"/>
        <v>1.8255555557325963E-2</v>
      </c>
      <c r="EL27" s="48">
        <f t="shared" si="84"/>
        <v>1.8255555557325963E-2</v>
      </c>
      <c r="EM27" s="48">
        <f t="shared" si="84"/>
        <v>1.8255555557325963E-2</v>
      </c>
      <c r="EN27" s="48">
        <f t="shared" si="84"/>
        <v>1.8255555557325963E-2</v>
      </c>
      <c r="EO27" s="48">
        <f t="shared" si="84"/>
        <v>1.8255555557325963E-2</v>
      </c>
      <c r="EP27" s="48">
        <f t="shared" si="84"/>
        <v>1.8255555557325963E-2</v>
      </c>
      <c r="EQ27" s="48">
        <f t="shared" si="84"/>
        <v>1.8255555557325963E-2</v>
      </c>
      <c r="ER27" s="48">
        <f t="shared" si="84"/>
        <v>1.8255555557325963E-2</v>
      </c>
      <c r="ES27" s="48">
        <f t="shared" si="84"/>
        <v>1.8255555557325963E-2</v>
      </c>
      <c r="ET27" s="48">
        <f t="shared" si="84"/>
        <v>1.8255555557325963E-2</v>
      </c>
      <c r="EY27" t="s">
        <v>35</v>
      </c>
      <c r="EZ27" s="8">
        <v>1.4500000000000001E-2</v>
      </c>
      <c r="FA27" s="47">
        <v>1.9E-2</v>
      </c>
      <c r="FB27" s="8">
        <f t="shared" ref="FB27:FB30" si="85">(FA27-EZ27)/18</f>
        <v>2.4999999999999995E-4</v>
      </c>
      <c r="FF27" s="130" t="s">
        <v>100</v>
      </c>
      <c r="FG27" s="12">
        <v>2.1000000000000001E-2</v>
      </c>
      <c r="FH27" s="12">
        <v>120</v>
      </c>
      <c r="FI27" s="12">
        <v>1.7000000000000001E-2</v>
      </c>
      <c r="FJ27" s="82">
        <v>1.3000000000000001E-2</v>
      </c>
      <c r="FK27" s="134">
        <f t="shared" si="62"/>
        <v>4.4444444444444447E-4</v>
      </c>
      <c r="FL27">
        <f>VLOOKUP(FF27,'SIMULADOR COM SALDO'!$BF$22:$BS$268,13,FALSE)</f>
        <v>2.1000000000000001E-2</v>
      </c>
    </row>
    <row r="28" spans="5:168" ht="18" customHeight="1" x14ac:dyDescent="0.25">
      <c r="E28" s="141"/>
      <c r="F28" s="121">
        <f t="shared" si="63"/>
        <v>1.8677777777777776E-2</v>
      </c>
      <c r="G28" s="52">
        <f t="shared" si="72"/>
        <v>1.9099687405612974E-2</v>
      </c>
      <c r="H28" s="52">
        <f t="shared" si="83"/>
        <v>1.909907381945302E-2</v>
      </c>
      <c r="I28" s="52">
        <f t="shared" si="83"/>
        <v>1.9098170535868032E-2</v>
      </c>
      <c r="J28" s="52">
        <f t="shared" si="83"/>
        <v>1.9096988544762161E-2</v>
      </c>
      <c r="K28" s="52">
        <f t="shared" si="83"/>
        <v>1.9095538538584384E-2</v>
      </c>
      <c r="L28" s="52">
        <f t="shared" si="83"/>
        <v>1.9093830918605482E-2</v>
      </c>
      <c r="M28" s="52">
        <f t="shared" si="83"/>
        <v>1.9091875801127568E-2</v>
      </c>
      <c r="N28" s="52">
        <f t="shared" si="83"/>
        <v>1.9089683023620314E-2</v>
      </c>
      <c r="O28" s="52">
        <f t="shared" si="83"/>
        <v>1.9087262150786089E-2</v>
      </c>
      <c r="P28" s="52">
        <f t="shared" si="83"/>
        <v>1.9084622480545779E-2</v>
      </c>
      <c r="Q28" s="52">
        <f t="shared" si="83"/>
        <v>1.9081773049948566E-2</v>
      </c>
      <c r="R28" s="52">
        <f t="shared" si="83"/>
        <v>1.9078722641000124E-2</v>
      </c>
      <c r="S28" s="52">
        <f t="shared" si="83"/>
        <v>1.9075479786409135E-2</v>
      </c>
      <c r="T28" s="52">
        <f t="shared" si="83"/>
        <v>1.9072052775250224E-2</v>
      </c>
      <c r="U28" s="52">
        <f t="shared" si="83"/>
        <v>1.9068449658542611E-2</v>
      </c>
      <c r="V28" s="52">
        <f t="shared" si="83"/>
        <v>1.9064678254742951E-2</v>
      </c>
      <c r="W28" s="52">
        <f t="shared" si="83"/>
        <v>1.9060746155151527E-2</v>
      </c>
      <c r="X28" s="52">
        <f t="shared" si="83"/>
        <v>1.9056660729230967E-2</v>
      </c>
      <c r="Y28" s="52">
        <f t="shared" si="83"/>
        <v>1.905242912983704E-2</v>
      </c>
      <c r="Z28" s="52">
        <f t="shared" si="83"/>
        <v>1.9048058298362661E-2</v>
      </c>
      <c r="AA28" s="52">
        <f t="shared" si="83"/>
        <v>1.9043554969790627E-2</v>
      </c>
      <c r="AB28" s="52">
        <f t="shared" si="83"/>
        <v>1.903892567766044E-2</v>
      </c>
      <c r="AC28" s="52">
        <f t="shared" si="83"/>
        <v>1.9034176758944817E-2</v>
      </c>
      <c r="AD28" s="52">
        <f t="shared" si="83"/>
        <v>1.9029314358837618E-2</v>
      </c>
      <c r="AE28" s="52">
        <f t="shared" si="83"/>
        <v>1.902434443545507E-2</v>
      </c>
      <c r="AF28" s="52">
        <f t="shared" si="83"/>
        <v>1.9019272764446031E-2</v>
      </c>
      <c r="AG28" s="52">
        <f t="shared" si="83"/>
        <v>1.9014104943517428E-2</v>
      </c>
      <c r="AH28" s="52">
        <f t="shared" si="83"/>
        <v>1.9008846396870879E-2</v>
      </c>
      <c r="AI28" s="52">
        <f t="shared" si="83"/>
        <v>1.9003502379552135E-2</v>
      </c>
      <c r="AJ28" s="52">
        <f t="shared" si="83"/>
        <v>1.8998077981716155E-2</v>
      </c>
      <c r="AK28" s="52">
        <f t="shared" si="83"/>
        <v>1.8992578132805114E-2</v>
      </c>
      <c r="AL28" s="52">
        <f t="shared" si="83"/>
        <v>1.8987007605642672E-2</v>
      </c>
      <c r="AM28" s="52">
        <f t="shared" si="83"/>
        <v>1.8981371020443928E-2</v>
      </c>
      <c r="AN28" s="52">
        <f t="shared" si="83"/>
        <v>1.8975672848742669E-2</v>
      </c>
      <c r="AO28" s="52">
        <f t="shared" si="83"/>
        <v>1.8969917417235974E-2</v>
      </c>
      <c r="AP28" s="52">
        <f t="shared" si="83"/>
        <v>1.8964108911548344E-2</v>
      </c>
      <c r="AQ28" s="52">
        <f t="shared" si="83"/>
        <v>1.8958251379914526E-2</v>
      </c>
      <c r="AR28" s="52">
        <f t="shared" si="83"/>
        <v>1.895234873678453E-2</v>
      </c>
      <c r="AS28" s="52">
        <f t="shared" si="83"/>
        <v>1.8946404766348415E-2</v>
      </c>
      <c r="AT28" s="52">
        <f t="shared" si="83"/>
        <v>1.894042312598633E-2</v>
      </c>
      <c r="AU28" s="52">
        <f t="shared" si="83"/>
        <v>1.8934407349640588E-2</v>
      </c>
      <c r="AV28" s="52">
        <f t="shared" si="83"/>
        <v>1.8928360851113372E-2</v>
      </c>
      <c r="AW28" s="52">
        <f t="shared" si="83"/>
        <v>1.8922286927290789E-2</v>
      </c>
      <c r="AX28" s="52">
        <f t="shared" si="83"/>
        <v>1.8916188761294347E-2</v>
      </c>
      <c r="AY28" s="52">
        <f t="shared" si="83"/>
        <v>1.8910069425559849E-2</v>
      </c>
      <c r="AZ28" s="52">
        <f t="shared" si="83"/>
        <v>1.8903931884846896E-2</v>
      </c>
      <c r="BA28" s="52">
        <f t="shared" si="83"/>
        <v>1.8897778999179146E-2</v>
      </c>
      <c r="BB28" s="52">
        <f t="shared" si="83"/>
        <v>1.8891613526715475E-2</v>
      </c>
      <c r="BC28" s="52">
        <f t="shared" si="83"/>
        <v>1.888543812655535E-2</v>
      </c>
      <c r="BD28" s="52">
        <f t="shared" si="83"/>
        <v>1.8879255361477474E-2</v>
      </c>
      <c r="BE28" s="52">
        <f t="shared" si="83"/>
        <v>1.8873067700614685E-2</v>
      </c>
      <c r="BF28" s="52">
        <f t="shared" si="83"/>
        <v>1.8866877522065145E-2</v>
      </c>
      <c r="BG28" s="52">
        <f t="shared" si="83"/>
        <v>1.8860687115441026E-2</v>
      </c>
      <c r="BH28" s="52">
        <f t="shared" si="83"/>
        <v>1.8854498684356066E-2</v>
      </c>
      <c r="BI28" s="52">
        <f t="shared" si="83"/>
        <v>1.8848314348854287E-2</v>
      </c>
      <c r="BJ28" s="52">
        <f t="shared" si="83"/>
        <v>1.8842136147778108E-2</v>
      </c>
      <c r="BK28" s="52">
        <f t="shared" si="83"/>
        <v>1.8835966041080818E-2</v>
      </c>
      <c r="BL28" s="52">
        <f t="shared" si="83"/>
        <v>1.882980591208068E-2</v>
      </c>
      <c r="BM28" s="52">
        <f t="shared" si="83"/>
        <v>1.8823657569661648E-2</v>
      </c>
      <c r="BN28" s="52">
        <f t="shared" si="83"/>
        <v>1.8817522750418161E-2</v>
      </c>
      <c r="BO28" s="52">
        <f t="shared" si="83"/>
        <v>1.8811403120747392E-2</v>
      </c>
      <c r="BP28" s="52">
        <f t="shared" si="83"/>
        <v>1.880530027888979E-2</v>
      </c>
      <c r="BQ28" s="52">
        <f t="shared" si="83"/>
        <v>1.8799215756918789E-2</v>
      </c>
      <c r="BR28" s="52">
        <f t="shared" si="83"/>
        <v>1.8793151022679231E-2</v>
      </c>
      <c r="BS28" s="52">
        <f t="shared" si="76"/>
        <v>1.8787107481679225E-2</v>
      </c>
      <c r="BT28" s="52">
        <f t="shared" si="76"/>
        <v>1.8781086478932139E-2</v>
      </c>
      <c r="BU28" s="52">
        <f t="shared" si="76"/>
        <v>1.8775089300753015E-2</v>
      </c>
      <c r="BV28" s="52">
        <f t="shared" si="76"/>
        <v>1.8769117176508848E-2</v>
      </c>
      <c r="BW28" s="52">
        <f t="shared" si="76"/>
        <v>1.8763171280324745E-2</v>
      </c>
      <c r="BX28" s="52">
        <f t="shared" si="76"/>
        <v>1.8757252732744634E-2</v>
      </c>
      <c r="BY28" s="52">
        <f t="shared" si="76"/>
        <v>1.8751362602351766E-2</v>
      </c>
      <c r="BZ28" s="52">
        <f t="shared" si="76"/>
        <v>1.8745501907345127E-2</v>
      </c>
      <c r="CA28" s="52">
        <f t="shared" si="76"/>
        <v>1.8739671617075834E-2</v>
      </c>
      <c r="CB28" s="52">
        <f t="shared" si="76"/>
        <v>1.8733872653544033E-2</v>
      </c>
      <c r="CC28" s="52">
        <f t="shared" si="76"/>
        <v>1.8728105892856457E-2</v>
      </c>
      <c r="CD28" s="52">
        <f t="shared" si="76"/>
        <v>1.8722372166644501E-2</v>
      </c>
      <c r="CE28" s="52">
        <f t="shared" si="76"/>
        <v>1.8716672263447816E-2</v>
      </c>
      <c r="CF28" s="52">
        <f t="shared" si="76"/>
        <v>1.871100693005838E-2</v>
      </c>
      <c r="CG28" s="52">
        <f t="shared" si="76"/>
        <v>1.8705376872831952E-2</v>
      </c>
      <c r="CH28" s="52">
        <f t="shared" si="76"/>
        <v>1.8699782758961867E-2</v>
      </c>
      <c r="CI28" s="52">
        <f t="shared" si="76"/>
        <v>1.8694225217721423E-2</v>
      </c>
      <c r="CJ28" s="52">
        <f t="shared" si="76"/>
        <v>1.8688704841671767E-2</v>
      </c>
      <c r="CK28" s="52">
        <f t="shared" si="76"/>
        <v>1.8683222187837769E-2</v>
      </c>
      <c r="CL28" s="52">
        <f t="shared" si="76"/>
        <v>1.867777777885227E-2</v>
      </c>
      <c r="CM28" s="52">
        <f t="shared" si="76"/>
        <v>1.867777777885227E-2</v>
      </c>
      <c r="CN28" s="52">
        <f t="shared" si="76"/>
        <v>1.867777777885227E-2</v>
      </c>
      <c r="CO28" s="52">
        <f t="shared" si="76"/>
        <v>1.867777777885227E-2</v>
      </c>
      <c r="CP28" s="52">
        <f t="shared" si="76"/>
        <v>1.867777777885227E-2</v>
      </c>
      <c r="CQ28" s="52">
        <f t="shared" si="76"/>
        <v>1.867777777885227E-2</v>
      </c>
      <c r="CR28" s="52">
        <f t="shared" si="76"/>
        <v>1.867777777885227E-2</v>
      </c>
      <c r="CS28" s="52">
        <f t="shared" si="76"/>
        <v>1.867777777885227E-2</v>
      </c>
      <c r="CT28" s="52">
        <f t="shared" si="76"/>
        <v>1.867777777885227E-2</v>
      </c>
      <c r="CU28" s="52">
        <f t="shared" si="76"/>
        <v>1.867777777885227E-2</v>
      </c>
      <c r="CV28" s="52">
        <f t="shared" si="76"/>
        <v>1.867777777885227E-2</v>
      </c>
      <c r="CW28" s="52">
        <f t="shared" si="76"/>
        <v>1.867777777885227E-2</v>
      </c>
      <c r="CX28" s="52">
        <f t="shared" si="76"/>
        <v>1.867777777885227E-2</v>
      </c>
      <c r="CY28" s="142">
        <f t="shared" si="81"/>
        <v>1.867777777885227E-2</v>
      </c>
      <c r="CZ28" s="142">
        <f t="shared" si="81"/>
        <v>1.867777777885227E-2</v>
      </c>
      <c r="DA28" s="142">
        <f t="shared" si="81"/>
        <v>1.867777777885227E-2</v>
      </c>
      <c r="DB28" s="142">
        <f t="shared" si="81"/>
        <v>1.867777777885227E-2</v>
      </c>
      <c r="DC28" s="142">
        <f t="shared" si="81"/>
        <v>1.867777777885227E-2</v>
      </c>
      <c r="DD28" s="142">
        <f t="shared" si="81"/>
        <v>1.867777777885227E-2</v>
      </c>
      <c r="DE28" s="142">
        <f t="shared" si="81"/>
        <v>1.867777777885227E-2</v>
      </c>
      <c r="DF28" s="142">
        <f t="shared" si="81"/>
        <v>1.867777777885227E-2</v>
      </c>
      <c r="DG28" s="142">
        <f t="shared" si="81"/>
        <v>1.867777777885227E-2</v>
      </c>
      <c r="DH28" s="142">
        <f t="shared" si="81"/>
        <v>1.867777777885227E-2</v>
      </c>
      <c r="DI28" s="142">
        <f t="shared" si="81"/>
        <v>1.867777777885227E-2</v>
      </c>
      <c r="DJ28" s="142">
        <f t="shared" si="81"/>
        <v>1.867777777885227E-2</v>
      </c>
      <c r="DK28" s="142">
        <f t="shared" si="81"/>
        <v>1.867777777885227E-2</v>
      </c>
      <c r="DL28" s="142">
        <f t="shared" si="81"/>
        <v>1.867777777885227E-2</v>
      </c>
      <c r="DM28" s="142">
        <f t="shared" si="81"/>
        <v>1.867777777885227E-2</v>
      </c>
      <c r="DN28" s="142">
        <f t="shared" si="81"/>
        <v>1.867777777885227E-2</v>
      </c>
      <c r="DO28" s="142">
        <f t="shared" si="81"/>
        <v>1.867777777885227E-2</v>
      </c>
      <c r="DP28" s="142">
        <f t="shared" si="81"/>
        <v>1.867777777885227E-2</v>
      </c>
      <c r="DQ28" s="142">
        <f t="shared" si="81"/>
        <v>1.867777777885227E-2</v>
      </c>
      <c r="DR28" s="142">
        <f t="shared" si="81"/>
        <v>1.867777777885227E-2</v>
      </c>
      <c r="DS28" s="142">
        <f t="shared" si="81"/>
        <v>1.867777777885227E-2</v>
      </c>
      <c r="DT28" s="142">
        <f t="shared" si="81"/>
        <v>1.867777777885227E-2</v>
      </c>
      <c r="DU28" s="142">
        <f t="shared" si="81"/>
        <v>1.867777777885227E-2</v>
      </c>
      <c r="DV28" s="142">
        <f t="shared" si="81"/>
        <v>1.867777777885227E-2</v>
      </c>
      <c r="DW28" s="48">
        <f t="shared" ref="DW28:ET28" si="86">IF(DW$9&lt;=$K$6,RATE($K$6,1,DW55,0),"")</f>
        <v>1.867777777885227E-2</v>
      </c>
      <c r="DX28" s="48">
        <f t="shared" si="86"/>
        <v>1.867777777885227E-2</v>
      </c>
      <c r="DY28" s="48">
        <f t="shared" si="86"/>
        <v>1.867777777885227E-2</v>
      </c>
      <c r="DZ28" s="48">
        <f t="shared" si="86"/>
        <v>1.867777777885227E-2</v>
      </c>
      <c r="EA28" s="48">
        <f t="shared" si="86"/>
        <v>1.867777777885227E-2</v>
      </c>
      <c r="EB28" s="48">
        <f t="shared" si="86"/>
        <v>1.867777777885227E-2</v>
      </c>
      <c r="EC28" s="48">
        <f t="shared" si="86"/>
        <v>1.867777777885227E-2</v>
      </c>
      <c r="ED28" s="48">
        <f t="shared" si="86"/>
        <v>1.867777777885227E-2</v>
      </c>
      <c r="EE28" s="48">
        <f t="shared" si="86"/>
        <v>1.867777777885227E-2</v>
      </c>
      <c r="EF28" s="48">
        <f t="shared" si="86"/>
        <v>1.867777777885227E-2</v>
      </c>
      <c r="EG28" s="48">
        <f t="shared" si="86"/>
        <v>1.867777777885227E-2</v>
      </c>
      <c r="EH28" s="48">
        <f t="shared" si="86"/>
        <v>1.867777777885227E-2</v>
      </c>
      <c r="EI28" s="48">
        <f t="shared" si="86"/>
        <v>1.867777777885227E-2</v>
      </c>
      <c r="EJ28" s="48">
        <f t="shared" si="86"/>
        <v>1.867777777885227E-2</v>
      </c>
      <c r="EK28" s="48">
        <f t="shared" si="86"/>
        <v>1.867777777885227E-2</v>
      </c>
      <c r="EL28" s="48">
        <f t="shared" si="86"/>
        <v>1.867777777885227E-2</v>
      </c>
      <c r="EM28" s="48">
        <f t="shared" si="86"/>
        <v>1.867777777885227E-2</v>
      </c>
      <c r="EN28" s="48">
        <f t="shared" si="86"/>
        <v>1.867777777885227E-2</v>
      </c>
      <c r="EO28" s="48">
        <f t="shared" si="86"/>
        <v>1.867777777885227E-2</v>
      </c>
      <c r="EP28" s="48">
        <f t="shared" si="86"/>
        <v>1.867777777885227E-2</v>
      </c>
      <c r="EQ28" s="48">
        <f t="shared" si="86"/>
        <v>1.867777777885227E-2</v>
      </c>
      <c r="ER28" s="48">
        <f t="shared" si="86"/>
        <v>1.867777777885227E-2</v>
      </c>
      <c r="ES28" s="48">
        <f t="shared" si="86"/>
        <v>1.867777777885227E-2</v>
      </c>
      <c r="ET28" s="48">
        <f t="shared" si="86"/>
        <v>1.867777777885227E-2</v>
      </c>
      <c r="EY28" t="s">
        <v>135</v>
      </c>
      <c r="EZ28" s="8">
        <v>1.4999999999999999E-2</v>
      </c>
      <c r="FA28" s="47">
        <v>1.95E-2</v>
      </c>
      <c r="FB28" s="8">
        <f t="shared" si="85"/>
        <v>2.5000000000000001E-4</v>
      </c>
      <c r="FF28" s="130" t="s">
        <v>475</v>
      </c>
      <c r="FG28" s="12">
        <v>2.29E-2</v>
      </c>
      <c r="FH28" s="12">
        <v>96</v>
      </c>
      <c r="FI28" s="12">
        <v>1.8500000000000003E-2</v>
      </c>
      <c r="FJ28" s="82">
        <v>1.44E-2</v>
      </c>
      <c r="FK28" s="134">
        <f t="shared" si="62"/>
        <v>4.7222222222222224E-4</v>
      </c>
      <c r="FL28">
        <f>VLOOKUP(FF28,'SIMULADOR COM SALDO'!$BF$22:$BS$268,13,FALSE)</f>
        <v>2.29E-2</v>
      </c>
    </row>
    <row r="29" spans="5:168" ht="18" customHeight="1" x14ac:dyDescent="0.25">
      <c r="E29" s="143"/>
      <c r="F29" s="121">
        <f t="shared" si="63"/>
        <v>1.9099999999999999E-2</v>
      </c>
      <c r="G29" s="52">
        <f t="shared" si="72"/>
        <v>1.9100000000645236E-2</v>
      </c>
      <c r="H29" s="52">
        <f t="shared" si="83"/>
        <v>1.9100000000645115E-2</v>
      </c>
      <c r="I29" s="52">
        <f t="shared" si="83"/>
        <v>1.9100000000645115E-2</v>
      </c>
      <c r="J29" s="52">
        <f t="shared" si="83"/>
        <v>1.9100000000645115E-2</v>
      </c>
      <c r="K29" s="52">
        <f t="shared" si="83"/>
        <v>1.9100000000645115E-2</v>
      </c>
      <c r="L29" s="52">
        <f t="shared" si="83"/>
        <v>1.9100000000645236E-2</v>
      </c>
      <c r="M29" s="52">
        <f t="shared" si="83"/>
        <v>1.9100000000645236E-2</v>
      </c>
      <c r="N29" s="52">
        <f t="shared" si="83"/>
        <v>1.9100000000645115E-2</v>
      </c>
      <c r="O29" s="52">
        <f t="shared" si="83"/>
        <v>1.9100000000645115E-2</v>
      </c>
      <c r="P29" s="52">
        <f t="shared" si="83"/>
        <v>1.9100000000645236E-2</v>
      </c>
      <c r="Q29" s="52">
        <f t="shared" si="83"/>
        <v>1.9100000000645236E-2</v>
      </c>
      <c r="R29" s="52">
        <f t="shared" si="83"/>
        <v>1.9100000000645236E-2</v>
      </c>
      <c r="S29" s="52">
        <f t="shared" si="83"/>
        <v>1.9100000000645115E-2</v>
      </c>
      <c r="T29" s="52">
        <f t="shared" si="83"/>
        <v>1.9100000000645236E-2</v>
      </c>
      <c r="U29" s="52">
        <f t="shared" si="83"/>
        <v>1.9100000000645236E-2</v>
      </c>
      <c r="V29" s="52">
        <f t="shared" si="83"/>
        <v>1.9100000000645115E-2</v>
      </c>
      <c r="W29" s="52">
        <f t="shared" si="83"/>
        <v>1.9100000000645115E-2</v>
      </c>
      <c r="X29" s="52">
        <f t="shared" si="83"/>
        <v>1.9100000000645115E-2</v>
      </c>
      <c r="Y29" s="52">
        <f t="shared" si="83"/>
        <v>1.9100000000645115E-2</v>
      </c>
      <c r="Z29" s="52">
        <f t="shared" si="83"/>
        <v>1.9100000000645115E-2</v>
      </c>
      <c r="AA29" s="52">
        <f t="shared" si="83"/>
        <v>1.9100000000645236E-2</v>
      </c>
      <c r="AB29" s="52">
        <f t="shared" si="83"/>
        <v>1.9100000000645236E-2</v>
      </c>
      <c r="AC29" s="52">
        <f t="shared" si="83"/>
        <v>1.9100000000645115E-2</v>
      </c>
      <c r="AD29" s="52">
        <f t="shared" si="83"/>
        <v>1.9100000000645236E-2</v>
      </c>
      <c r="AE29" s="52">
        <f t="shared" si="83"/>
        <v>1.9100000000645236E-2</v>
      </c>
      <c r="AF29" s="52">
        <f t="shared" si="83"/>
        <v>1.9100000000645236E-2</v>
      </c>
      <c r="AG29" s="52">
        <f t="shared" si="83"/>
        <v>1.9100000000645236E-2</v>
      </c>
      <c r="AH29" s="52">
        <f t="shared" si="83"/>
        <v>1.9100000000645236E-2</v>
      </c>
      <c r="AI29" s="52">
        <f t="shared" si="83"/>
        <v>1.9100000000645236E-2</v>
      </c>
      <c r="AJ29" s="52">
        <f t="shared" si="83"/>
        <v>1.9100000000645236E-2</v>
      </c>
      <c r="AK29" s="52">
        <f t="shared" si="83"/>
        <v>1.9100000000645236E-2</v>
      </c>
      <c r="AL29" s="52">
        <f t="shared" si="83"/>
        <v>1.9100000000645236E-2</v>
      </c>
      <c r="AM29" s="52">
        <f t="shared" si="83"/>
        <v>1.9100000000645236E-2</v>
      </c>
      <c r="AN29" s="52">
        <f t="shared" si="83"/>
        <v>1.9100000000645236E-2</v>
      </c>
      <c r="AO29" s="52">
        <f t="shared" si="83"/>
        <v>1.9100000000645236E-2</v>
      </c>
      <c r="AP29" s="52">
        <f t="shared" si="83"/>
        <v>1.9100000000645236E-2</v>
      </c>
      <c r="AQ29" s="52">
        <f t="shared" si="83"/>
        <v>1.9100000000645115E-2</v>
      </c>
      <c r="AR29" s="52">
        <f t="shared" si="83"/>
        <v>1.9100000000645236E-2</v>
      </c>
      <c r="AS29" s="52">
        <f t="shared" si="83"/>
        <v>1.9100000000645115E-2</v>
      </c>
      <c r="AT29" s="52">
        <f t="shared" si="83"/>
        <v>1.9100000000645236E-2</v>
      </c>
      <c r="AU29" s="52">
        <f t="shared" si="83"/>
        <v>1.9100000000645236E-2</v>
      </c>
      <c r="AV29" s="52">
        <f t="shared" si="83"/>
        <v>1.9100000000645115E-2</v>
      </c>
      <c r="AW29" s="52">
        <f t="shared" si="83"/>
        <v>1.9100000000645236E-2</v>
      </c>
      <c r="AX29" s="52">
        <f t="shared" si="83"/>
        <v>1.9100000000645236E-2</v>
      </c>
      <c r="AY29" s="52">
        <f t="shared" si="83"/>
        <v>1.9100000000645115E-2</v>
      </c>
      <c r="AZ29" s="52">
        <f t="shared" si="83"/>
        <v>1.9100000000645236E-2</v>
      </c>
      <c r="BA29" s="52">
        <f t="shared" si="83"/>
        <v>1.9100000000645115E-2</v>
      </c>
      <c r="BB29" s="52">
        <f t="shared" si="83"/>
        <v>1.9100000000645236E-2</v>
      </c>
      <c r="BC29" s="52">
        <f t="shared" si="83"/>
        <v>1.9100000000645236E-2</v>
      </c>
      <c r="BD29" s="52">
        <f t="shared" si="83"/>
        <v>1.9100000000645236E-2</v>
      </c>
      <c r="BE29" s="52">
        <f t="shared" si="83"/>
        <v>1.9100000000645236E-2</v>
      </c>
      <c r="BF29" s="52">
        <f t="shared" si="83"/>
        <v>1.9100000000645236E-2</v>
      </c>
      <c r="BG29" s="52">
        <f t="shared" si="83"/>
        <v>1.9100000000645115E-2</v>
      </c>
      <c r="BH29" s="52">
        <f t="shared" si="83"/>
        <v>1.9100000000645115E-2</v>
      </c>
      <c r="BI29" s="52">
        <f t="shared" si="83"/>
        <v>1.9100000000645236E-2</v>
      </c>
      <c r="BJ29" s="52">
        <f t="shared" si="83"/>
        <v>1.9100000000645236E-2</v>
      </c>
      <c r="BK29" s="52">
        <f t="shared" si="83"/>
        <v>1.9100000000645236E-2</v>
      </c>
      <c r="BL29" s="52">
        <f t="shared" si="83"/>
        <v>1.9100000000645236E-2</v>
      </c>
      <c r="BM29" s="52">
        <f t="shared" si="83"/>
        <v>1.9100000000645236E-2</v>
      </c>
      <c r="BN29" s="52">
        <f t="shared" si="83"/>
        <v>1.9100000000645236E-2</v>
      </c>
      <c r="BO29" s="52">
        <f t="shared" si="83"/>
        <v>1.9100000000645115E-2</v>
      </c>
      <c r="BP29" s="52">
        <f t="shared" si="83"/>
        <v>1.9100000000645236E-2</v>
      </c>
      <c r="BQ29" s="52">
        <f t="shared" si="83"/>
        <v>1.9100000000645236E-2</v>
      </c>
      <c r="BR29" s="52">
        <f t="shared" si="83"/>
        <v>1.9100000000645115E-2</v>
      </c>
      <c r="BS29" s="52">
        <f t="shared" si="76"/>
        <v>1.9100000000645115E-2</v>
      </c>
      <c r="BT29" s="52">
        <f t="shared" si="76"/>
        <v>1.9100000000645115E-2</v>
      </c>
      <c r="BU29" s="52">
        <f t="shared" si="76"/>
        <v>1.9100000000645115E-2</v>
      </c>
      <c r="BV29" s="52">
        <f t="shared" si="76"/>
        <v>1.9100000000645115E-2</v>
      </c>
      <c r="BW29" s="52">
        <f t="shared" si="76"/>
        <v>1.9100000000645236E-2</v>
      </c>
      <c r="BX29" s="52">
        <f t="shared" si="76"/>
        <v>1.9100000000645236E-2</v>
      </c>
      <c r="BY29" s="52">
        <f t="shared" si="76"/>
        <v>1.9100000000645115E-2</v>
      </c>
      <c r="BZ29" s="52">
        <f t="shared" si="76"/>
        <v>1.9100000000645236E-2</v>
      </c>
      <c r="CA29" s="52">
        <f t="shared" si="76"/>
        <v>1.9100000000645236E-2</v>
      </c>
      <c r="CB29" s="52">
        <f t="shared" si="76"/>
        <v>1.9100000000645236E-2</v>
      </c>
      <c r="CC29" s="52">
        <f t="shared" si="76"/>
        <v>1.9100000000645115E-2</v>
      </c>
      <c r="CD29" s="52">
        <f t="shared" si="76"/>
        <v>1.9100000000645236E-2</v>
      </c>
      <c r="CE29" s="52">
        <f t="shared" si="76"/>
        <v>1.9100000000645115E-2</v>
      </c>
      <c r="CF29" s="52">
        <f t="shared" si="76"/>
        <v>1.9100000000645236E-2</v>
      </c>
      <c r="CG29" s="52">
        <f t="shared" si="76"/>
        <v>1.9100000000645115E-2</v>
      </c>
      <c r="CH29" s="52">
        <f t="shared" si="76"/>
        <v>1.9100000000645236E-2</v>
      </c>
      <c r="CI29" s="52">
        <f t="shared" si="76"/>
        <v>1.9100000000645236E-2</v>
      </c>
      <c r="CJ29" s="52">
        <f t="shared" si="76"/>
        <v>1.9100000000645236E-2</v>
      </c>
      <c r="CK29" s="52">
        <f t="shared" si="76"/>
        <v>1.9100000000645236E-2</v>
      </c>
      <c r="CL29" s="52">
        <f t="shared" si="76"/>
        <v>1.9100000000645115E-2</v>
      </c>
      <c r="CM29" s="52">
        <f t="shared" si="76"/>
        <v>1.9100000000645115E-2</v>
      </c>
      <c r="CN29" s="52">
        <f t="shared" si="76"/>
        <v>1.9100000000645115E-2</v>
      </c>
      <c r="CO29" s="52">
        <f t="shared" si="76"/>
        <v>1.9100000000645115E-2</v>
      </c>
      <c r="CP29" s="52">
        <f t="shared" si="76"/>
        <v>1.9100000000645115E-2</v>
      </c>
      <c r="CQ29" s="52">
        <f t="shared" si="76"/>
        <v>1.9100000000645115E-2</v>
      </c>
      <c r="CR29" s="52">
        <f t="shared" si="76"/>
        <v>1.9100000000645115E-2</v>
      </c>
      <c r="CS29" s="52">
        <f t="shared" si="76"/>
        <v>1.9100000000645115E-2</v>
      </c>
      <c r="CT29" s="52">
        <f t="shared" si="76"/>
        <v>1.9100000000645115E-2</v>
      </c>
      <c r="CU29" s="52">
        <f t="shared" si="76"/>
        <v>1.9100000000645115E-2</v>
      </c>
      <c r="CV29" s="52">
        <f t="shared" si="76"/>
        <v>1.9100000000645115E-2</v>
      </c>
      <c r="CW29" s="52">
        <f t="shared" si="76"/>
        <v>1.9100000000645115E-2</v>
      </c>
      <c r="CX29" s="52">
        <f t="shared" si="76"/>
        <v>1.9100000000645115E-2</v>
      </c>
      <c r="CY29" s="142">
        <f t="shared" si="81"/>
        <v>1.9100000000645115E-2</v>
      </c>
      <c r="CZ29" s="142">
        <f t="shared" si="81"/>
        <v>1.9100000000645115E-2</v>
      </c>
      <c r="DA29" s="142">
        <f t="shared" si="81"/>
        <v>1.9100000000645115E-2</v>
      </c>
      <c r="DB29" s="142">
        <f t="shared" si="81"/>
        <v>1.9100000000645115E-2</v>
      </c>
      <c r="DC29" s="142">
        <f t="shared" si="81"/>
        <v>1.9100000000645115E-2</v>
      </c>
      <c r="DD29" s="142">
        <f t="shared" si="81"/>
        <v>1.9100000000645115E-2</v>
      </c>
      <c r="DE29" s="142">
        <f t="shared" si="81"/>
        <v>1.9100000000645115E-2</v>
      </c>
      <c r="DF29" s="142">
        <f t="shared" si="81"/>
        <v>1.9100000000645115E-2</v>
      </c>
      <c r="DG29" s="142">
        <f t="shared" si="81"/>
        <v>1.9100000000645115E-2</v>
      </c>
      <c r="DH29" s="142">
        <f t="shared" si="81"/>
        <v>1.9100000000645115E-2</v>
      </c>
      <c r="DI29" s="142">
        <f t="shared" si="81"/>
        <v>1.9100000000645115E-2</v>
      </c>
      <c r="DJ29" s="142">
        <f t="shared" si="81"/>
        <v>1.9100000000645115E-2</v>
      </c>
      <c r="DK29" s="142">
        <f t="shared" si="81"/>
        <v>1.9100000000645115E-2</v>
      </c>
      <c r="DL29" s="142">
        <f t="shared" si="81"/>
        <v>1.9100000000645115E-2</v>
      </c>
      <c r="DM29" s="142">
        <f t="shared" si="81"/>
        <v>1.9100000000645115E-2</v>
      </c>
      <c r="DN29" s="142">
        <f t="shared" si="81"/>
        <v>1.9100000000645115E-2</v>
      </c>
      <c r="DO29" s="142">
        <f t="shared" si="81"/>
        <v>1.9100000000645115E-2</v>
      </c>
      <c r="DP29" s="142">
        <f t="shared" si="81"/>
        <v>1.9100000000645115E-2</v>
      </c>
      <c r="DQ29" s="142">
        <f t="shared" si="81"/>
        <v>1.9100000000645115E-2</v>
      </c>
      <c r="DR29" s="142">
        <f t="shared" si="81"/>
        <v>1.9100000000645115E-2</v>
      </c>
      <c r="DS29" s="142">
        <f t="shared" si="81"/>
        <v>1.9100000000645115E-2</v>
      </c>
      <c r="DT29" s="142">
        <f t="shared" si="81"/>
        <v>1.9100000000645115E-2</v>
      </c>
      <c r="DU29" s="142">
        <f t="shared" si="81"/>
        <v>1.9100000000645115E-2</v>
      </c>
      <c r="DV29" s="142">
        <f t="shared" si="81"/>
        <v>1.9100000000645115E-2</v>
      </c>
      <c r="DW29" s="48">
        <f t="shared" ref="DW29:ET29" si="87">IF(DW$9&lt;=$K$6,RATE($K$6,1,DW56,0),"")</f>
        <v>1.9100000000645115E-2</v>
      </c>
      <c r="DX29" s="48">
        <f t="shared" si="87"/>
        <v>1.9100000000645115E-2</v>
      </c>
      <c r="DY29" s="48">
        <f t="shared" si="87"/>
        <v>1.9100000000645115E-2</v>
      </c>
      <c r="DZ29" s="48">
        <f t="shared" si="87"/>
        <v>1.9100000000645115E-2</v>
      </c>
      <c r="EA29" s="48">
        <f t="shared" si="87"/>
        <v>1.9100000000645115E-2</v>
      </c>
      <c r="EB29" s="48">
        <f t="shared" si="87"/>
        <v>1.9100000000645115E-2</v>
      </c>
      <c r="EC29" s="48">
        <f t="shared" si="87"/>
        <v>1.9100000000645115E-2</v>
      </c>
      <c r="ED29" s="48">
        <f t="shared" si="87"/>
        <v>1.9100000000645115E-2</v>
      </c>
      <c r="EE29" s="48">
        <f t="shared" si="87"/>
        <v>1.9100000000645115E-2</v>
      </c>
      <c r="EF29" s="48">
        <f t="shared" si="87"/>
        <v>1.9100000000645115E-2</v>
      </c>
      <c r="EG29" s="48">
        <f t="shared" si="87"/>
        <v>1.9100000000645115E-2</v>
      </c>
      <c r="EH29" s="48">
        <f t="shared" si="87"/>
        <v>1.9100000000645115E-2</v>
      </c>
      <c r="EI29" s="48">
        <f t="shared" si="87"/>
        <v>1.9100000000645115E-2</v>
      </c>
      <c r="EJ29" s="48">
        <f t="shared" si="87"/>
        <v>1.9100000000645115E-2</v>
      </c>
      <c r="EK29" s="48">
        <f t="shared" si="87"/>
        <v>1.9100000000645115E-2</v>
      </c>
      <c r="EL29" s="48">
        <f t="shared" si="87"/>
        <v>1.9100000000645115E-2</v>
      </c>
      <c r="EM29" s="48">
        <f t="shared" si="87"/>
        <v>1.9100000000645115E-2</v>
      </c>
      <c r="EN29" s="48">
        <f t="shared" si="87"/>
        <v>1.9100000000645115E-2</v>
      </c>
      <c r="EO29" s="48">
        <f t="shared" si="87"/>
        <v>1.9100000000645115E-2</v>
      </c>
      <c r="EP29" s="48">
        <f t="shared" si="87"/>
        <v>1.9100000000645115E-2</v>
      </c>
      <c r="EQ29" s="48">
        <f t="shared" si="87"/>
        <v>1.9100000000645115E-2</v>
      </c>
      <c r="ER29" s="48">
        <f t="shared" si="87"/>
        <v>1.9100000000645115E-2</v>
      </c>
      <c r="ES29" s="48">
        <f t="shared" si="87"/>
        <v>1.9100000000645115E-2</v>
      </c>
      <c r="ET29" s="48">
        <f t="shared" si="87"/>
        <v>1.9100000000645115E-2</v>
      </c>
      <c r="EY29" t="s">
        <v>169</v>
      </c>
      <c r="EZ29" s="8">
        <v>1.15E-2</v>
      </c>
      <c r="FA29" s="47">
        <f t="shared" ref="FA29:FA30" si="88">VLOOKUP(EY29,$EY$11:$FC$24,5,FALSE)</f>
        <v>1.9699999999999999E-2</v>
      </c>
      <c r="FB29" s="8">
        <f t="shared" si="85"/>
        <v>4.5555555555555551E-4</v>
      </c>
      <c r="FF29" s="130" t="s">
        <v>476</v>
      </c>
      <c r="FG29" s="12">
        <v>2.29E-2</v>
      </c>
      <c r="FH29" s="12">
        <v>96</v>
      </c>
      <c r="FI29" s="12">
        <v>1.8500000000000003E-2</v>
      </c>
      <c r="FJ29" s="82">
        <v>1.44E-2</v>
      </c>
      <c r="FK29" s="134">
        <f t="shared" si="62"/>
        <v>4.7222222222222224E-4</v>
      </c>
      <c r="FL29">
        <f>VLOOKUP(FF29,'SIMULADOR COM SALDO'!$BF$22:$BS$268,13,FALSE)</f>
        <v>2.29E-2</v>
      </c>
    </row>
    <row r="30" spans="5:168" hidden="1" x14ac:dyDescent="0.25">
      <c r="F30" s="24"/>
      <c r="G30" s="48"/>
      <c r="CX30" s="48"/>
      <c r="CY30" s="48"/>
      <c r="CZ30" s="48"/>
      <c r="DA30" s="48"/>
      <c r="DB30" s="48"/>
      <c r="DC30" s="48"/>
      <c r="DD30" s="48"/>
      <c r="DE30" s="48"/>
      <c r="DF30" s="48"/>
      <c r="DG30" s="48"/>
      <c r="DH30" s="48"/>
      <c r="DI30" s="48"/>
      <c r="DJ30" s="48"/>
      <c r="DK30" s="48"/>
      <c r="DL30" s="48"/>
      <c r="DM30" s="48"/>
      <c r="DN30" s="48"/>
      <c r="DO30" s="48"/>
      <c r="DP30" s="48"/>
      <c r="DQ30" s="48"/>
      <c r="DR30" s="48"/>
      <c r="DS30" s="48"/>
      <c r="DT30" s="48"/>
      <c r="DU30" s="48"/>
      <c r="DV30" s="48"/>
      <c r="DW30" s="48"/>
      <c r="DX30" s="48"/>
      <c r="DY30" s="48"/>
      <c r="DZ30" s="48"/>
      <c r="EA30" s="48"/>
      <c r="EB30" s="48"/>
      <c r="EC30" s="48"/>
      <c r="ED30" s="48"/>
      <c r="EE30" s="48"/>
      <c r="EF30" s="48"/>
      <c r="EG30" s="48"/>
      <c r="EH30" s="48"/>
      <c r="EI30" s="48"/>
      <c r="EJ30" s="48"/>
      <c r="EK30" s="48"/>
      <c r="EL30" s="48"/>
      <c r="EM30" s="48"/>
      <c r="EN30" s="48"/>
      <c r="EO30" s="48"/>
      <c r="EP30" s="48"/>
      <c r="EQ30" s="48"/>
      <c r="ER30" s="48"/>
      <c r="ES30" s="48"/>
      <c r="ET30" s="48"/>
      <c r="EY30" t="s">
        <v>36</v>
      </c>
      <c r="EZ30" s="8">
        <v>1.5900000000000001E-2</v>
      </c>
      <c r="FA30" s="47">
        <f t="shared" si="88"/>
        <v>2.0500000000000001E-2</v>
      </c>
      <c r="FB30" s="8">
        <f t="shared" si="85"/>
        <v>2.5555555555555553E-4</v>
      </c>
      <c r="FF30" s="130" t="s">
        <v>97</v>
      </c>
      <c r="FG30" s="12">
        <v>2.29E-2</v>
      </c>
      <c r="FH30" s="12">
        <v>96</v>
      </c>
      <c r="FI30" s="12">
        <v>1.8500000000000003E-2</v>
      </c>
      <c r="FJ30" s="82">
        <v>1.44E-2</v>
      </c>
      <c r="FK30" s="134">
        <f t="shared" si="62"/>
        <v>4.7222222222222224E-4</v>
      </c>
      <c r="FL30">
        <f>VLOOKUP(FF30,'SIMULADOR COM SALDO'!$BF$22:$BS$268,13,FALSE)</f>
        <v>2.29E-2</v>
      </c>
    </row>
    <row r="31" spans="5:168" hidden="1" x14ac:dyDescent="0.25">
      <c r="E31" s="49"/>
      <c r="FF31" s="130" t="s">
        <v>164</v>
      </c>
      <c r="FG31" s="12">
        <v>2.1000000000000001E-2</v>
      </c>
      <c r="FH31" s="12">
        <v>120</v>
      </c>
      <c r="FI31" s="12">
        <v>1.8000000000000002E-2</v>
      </c>
      <c r="FJ31" s="82">
        <v>1.55E-2</v>
      </c>
      <c r="FK31" s="134">
        <f t="shared" si="62"/>
        <v>3.0555555555555566E-4</v>
      </c>
      <c r="FL31">
        <f>VLOOKUP(FF31,'SIMULADOR COM SALDO'!$BF$22:$BS$268,13,FALSE)</f>
        <v>2.1000000000000001E-2</v>
      </c>
    </row>
    <row r="32" spans="5:168" hidden="1" x14ac:dyDescent="0.25">
      <c r="FF32" s="130" t="s">
        <v>166</v>
      </c>
      <c r="FG32" s="12">
        <v>2.4E-2</v>
      </c>
      <c r="FH32" s="12">
        <v>96</v>
      </c>
      <c r="FI32" s="12">
        <v>1.8500000000000003E-2</v>
      </c>
      <c r="FJ32" s="82">
        <v>1.7000000000000001E-2</v>
      </c>
      <c r="FK32" s="134">
        <f t="shared" si="62"/>
        <v>3.8888888888888887E-4</v>
      </c>
      <c r="FL32">
        <f>VLOOKUP(FF32,'SIMULADOR COM SALDO'!$BF$22:$BS$268,13,FALSE)</f>
        <v>2.4E-2</v>
      </c>
    </row>
    <row r="33" spans="5:168" hidden="1" x14ac:dyDescent="0.25">
      <c r="FF33" s="130" t="s">
        <v>51</v>
      </c>
      <c r="FG33" s="12">
        <v>1.9099999999999999E-2</v>
      </c>
      <c r="FH33" s="12">
        <v>84</v>
      </c>
      <c r="FI33" s="12">
        <v>1.6500000000000001E-2</v>
      </c>
      <c r="FJ33" s="82">
        <v>1.15E-2</v>
      </c>
      <c r="FK33" s="134">
        <f t="shared" si="62"/>
        <v>4.2222222222222216E-4</v>
      </c>
      <c r="FL33">
        <f>VLOOKUP(FF33,'SIMULADOR COM SALDO'!$BF$22:$BS$268,13,FALSE)</f>
        <v>1.9099999999999999E-2</v>
      </c>
    </row>
    <row r="34" spans="5:168" hidden="1" x14ac:dyDescent="0.25">
      <c r="FF34" s="130" t="s">
        <v>170</v>
      </c>
      <c r="FG34" s="12">
        <v>2.4E-2</v>
      </c>
      <c r="FH34" s="12">
        <v>120</v>
      </c>
      <c r="FI34" s="12">
        <v>1.7899999999999999E-2</v>
      </c>
      <c r="FJ34" s="82">
        <v>1.6399999999999998E-2</v>
      </c>
      <c r="FK34" s="134">
        <f t="shared" si="62"/>
        <v>4.2222222222222238E-4</v>
      </c>
      <c r="FL34">
        <f>VLOOKUP(FF34,'SIMULADOR COM SALDO'!$BF$22:$BS$268,13,FALSE)</f>
        <v>2.4E-2</v>
      </c>
    </row>
    <row r="35" spans="5:168" hidden="1" x14ac:dyDescent="0.25">
      <c r="FF35" s="130" t="s">
        <v>175</v>
      </c>
      <c r="FG35" s="12">
        <v>2.4E-2</v>
      </c>
      <c r="FH35" s="12">
        <v>120</v>
      </c>
      <c r="FI35" s="12">
        <v>1.9400000000000001E-2</v>
      </c>
      <c r="FJ35" s="82">
        <v>1.6399999999999998E-2</v>
      </c>
      <c r="FK35" s="134">
        <f t="shared" si="62"/>
        <v>4.2222222222222238E-4</v>
      </c>
      <c r="FL35">
        <f>VLOOKUP(FF35,'SIMULADOR COM SALDO'!$BF$22:$BS$268,13,FALSE)</f>
        <v>2.4E-2</v>
      </c>
    </row>
    <row r="36" spans="5:168" hidden="1" x14ac:dyDescent="0.25">
      <c r="FF36" s="130" t="s">
        <v>177</v>
      </c>
      <c r="FG36" s="12">
        <v>2.7999999999999997E-2</v>
      </c>
      <c r="FH36" s="12">
        <v>96</v>
      </c>
      <c r="FI36" s="12">
        <v>2.1000000000000001E-2</v>
      </c>
      <c r="FJ36" s="82">
        <v>1.8500000000000003E-2</v>
      </c>
      <c r="FK36" s="134">
        <f t="shared" si="62"/>
        <v>5.2777777777777751E-4</v>
      </c>
      <c r="FL36">
        <f>VLOOKUP(FF36,'SIMULADOR COM SALDO'!$BF$22:$BS$268,13,FALSE)</f>
        <v>2.7999999999999997E-2</v>
      </c>
    </row>
    <row r="37" spans="5:168" hidden="1" x14ac:dyDescent="0.25">
      <c r="FF37" s="130" t="s">
        <v>35</v>
      </c>
      <c r="FG37" s="12">
        <v>0.02</v>
      </c>
      <c r="FH37" s="12">
        <v>72</v>
      </c>
      <c r="FI37" s="12">
        <v>1.61E-2</v>
      </c>
      <c r="FJ37" s="82">
        <v>1.3000000000000001E-2</v>
      </c>
      <c r="FK37" s="134">
        <f t="shared" si="62"/>
        <v>3.8888888888888887E-4</v>
      </c>
      <c r="FL37">
        <f>VLOOKUP(FF37,'SIMULADOR COM SALDO'!$BF$22:$BS$268,13,FALSE)</f>
        <v>2.1600000000000001E-2</v>
      </c>
    </row>
    <row r="38" spans="5:168" hidden="1" x14ac:dyDescent="0.25">
      <c r="E38" s="47">
        <f>INT(J6*1000+0.5)/1000</f>
        <v>1.9E-2</v>
      </c>
      <c r="G38" s="5">
        <f t="shared" ref="G38:G56" si="89">PV($F11,G$9,1,0)+(PV($J$6,$K$6-G$9,1,0)/($J$6+1))^G$9</f>
        <v>-41.678866756786718</v>
      </c>
      <c r="H38" s="5">
        <f t="shared" ref="H38:BS41" si="90">PV($F11,H$9,1,0)+(PV($J$6,$K$6-H$9,1,0)/($J$6+1)^H$9)</f>
        <v>-41.693390300517628</v>
      </c>
      <c r="I38" s="5">
        <f t="shared" si="90"/>
        <v>-41.714847724427607</v>
      </c>
      <c r="J38" s="5">
        <f t="shared" si="90"/>
        <v>-41.743027145784872</v>
      </c>
      <c r="K38" s="5">
        <f t="shared" si="90"/>
        <v>-41.777721584427042</v>
      </c>
      <c r="L38" s="5">
        <f t="shared" si="90"/>
        <v>-41.818728860287131</v>
      </c>
      <c r="M38" s="5">
        <f t="shared" si="90"/>
        <v>-41.865851492960374</v>
      </c>
      <c r="N38" s="5">
        <f t="shared" si="90"/>
        <v>-41.918896603272536</v>
      </c>
      <c r="O38" s="5">
        <f t="shared" si="90"/>
        <v>-41.97767581681066</v>
      </c>
      <c r="P38" s="5">
        <f t="shared" si="90"/>
        <v>-42.042005169378157</v>
      </c>
      <c r="Q38" s="5">
        <f t="shared" si="90"/>
        <v>-42.111705014336884</v>
      </c>
      <c r="R38" s="5">
        <f t="shared" si="90"/>
        <v>-42.186599931799634</v>
      </c>
      <c r="S38" s="5">
        <f t="shared" si="90"/>
        <v>-42.266518639636743</v>
      </c>
      <c r="T38" s="5">
        <f t="shared" si="90"/>
        <v>-42.351293906262001</v>
      </c>
      <c r="U38" s="5">
        <f t="shared" si="90"/>
        <v>-42.440762465162827</v>
      </c>
      <c r="V38" s="5">
        <f t="shared" si="90"/>
        <v>-42.53476493114097</v>
      </c>
      <c r="W38" s="5">
        <f t="shared" si="90"/>
        <v>-42.633145718230544</v>
      </c>
      <c r="X38" s="5">
        <f t="shared" si="90"/>
        <v>-42.735752959260481</v>
      </c>
      <c r="Y38" s="5">
        <f t="shared" si="90"/>
        <v>-42.842438427029577</v>
      </c>
      <c r="Z38" s="5">
        <f t="shared" si="90"/>
        <v>-42.953057457062613</v>
      </c>
      <c r="AA38" s="5">
        <f t="shared" si="90"/>
        <v>-43.067468871916773</v>
      </c>
      <c r="AB38" s="5">
        <f t="shared" si="90"/>
        <v>-43.185534907008197</v>
      </c>
      <c r="AC38" s="5">
        <f t="shared" si="90"/>
        <v>-43.307121137928888</v>
      </c>
      <c r="AD38" s="5">
        <f t="shared" si="90"/>
        <v>-43.432096409225025</v>
      </c>
      <c r="AE38" s="5">
        <f t="shared" si="90"/>
        <v>-43.560332764608077</v>
      </c>
      <c r="AF38" s="5">
        <f t="shared" si="90"/>
        <v>-43.691705378570859</v>
      </c>
      <c r="AG38" s="5">
        <f t="shared" si="90"/>
        <v>-43.826092489380926</v>
      </c>
      <c r="AH38" s="5">
        <f t="shared" si="90"/>
        <v>-43.963375333424658</v>
      </c>
      <c r="AI38" s="5">
        <f t="shared" si="90"/>
        <v>-44.103438080875335</v>
      </c>
      <c r="AJ38" s="5">
        <f t="shared" si="90"/>
        <v>-44.246167772659518</v>
      </c>
      <c r="AK38" s="5">
        <f t="shared" si="90"/>
        <v>-44.391454258696463</v>
      </c>
      <c r="AL38" s="5">
        <f t="shared" si="90"/>
        <v>-44.539190137385226</v>
      </c>
      <c r="AM38" s="5">
        <f t="shared" si="90"/>
        <v>-44.689270696315653</v>
      </c>
      <c r="AN38" s="5">
        <f t="shared" si="90"/>
        <v>-44.841593854178782</v>
      </c>
      <c r="AO38" s="5">
        <f t="shared" si="90"/>
        <v>-44.996060103853452</v>
      </c>
      <c r="AP38" s="5">
        <f t="shared" si="90"/>
        <v>-45.152572456645942</v>
      </c>
      <c r="AQ38" s="5">
        <f t="shared" si="90"/>
        <v>-45.311036387660245</v>
      </c>
      <c r="AR38" s="5">
        <f t="shared" si="90"/>
        <v>-45.471359782276487</v>
      </c>
      <c r="AS38" s="5">
        <f t="shared" si="90"/>
        <v>-45.633452883716167</v>
      </c>
      <c r="AT38" s="5">
        <f t="shared" si="90"/>
        <v>-45.797228241672478</v>
      </c>
      <c r="AU38" s="5">
        <f t="shared" si="90"/>
        <v>-45.962600661985206</v>
      </c>
      <c r="AV38" s="5">
        <f t="shared" si="90"/>
        <v>-46.129487157339362</v>
      </c>
      <c r="AW38" s="5">
        <f t="shared" si="90"/>
        <v>-46.297806898967721</v>
      </c>
      <c r="AX38" s="5">
        <f t="shared" si="90"/>
        <v>-46.467481169337319</v>
      </c>
      <c r="AY38" s="5">
        <f t="shared" si="90"/>
        <v>-46.638433315800704</v>
      </c>
      <c r="AZ38" s="5">
        <f t="shared" si="90"/>
        <v>-46.81058870519297</v>
      </c>
      <c r="BA38" s="5">
        <f t="shared" si="90"/>
        <v>-46.983874679355914</v>
      </c>
      <c r="BB38" s="5">
        <f t="shared" si="90"/>
        <v>-47.158220511571109</v>
      </c>
      <c r="BC38" s="5">
        <f t="shared" si="90"/>
        <v>-47.333557363883926</v>
      </c>
      <c r="BD38" s="5">
        <f t="shared" si="90"/>
        <v>-47.50981824530119</v>
      </c>
      <c r="BE38" s="5">
        <f t="shared" si="90"/>
        <v>-47.686937970844902</v>
      </c>
      <c r="BF38" s="5">
        <f t="shared" si="90"/>
        <v>-47.864853121445499</v>
      </c>
      <c r="BG38" s="5">
        <f t="shared" si="90"/>
        <v>-48.04350200465786</v>
      </c>
      <c r="BH38" s="5">
        <f t="shared" si="90"/>
        <v>-48.222824616183949</v>
      </c>
      <c r="BI38" s="5">
        <f t="shared" si="90"/>
        <v>-48.402762602186215</v>
      </c>
      <c r="BJ38" s="5">
        <f t="shared" si="90"/>
        <v>-48.583259222375844</v>
      </c>
      <c r="BK38" s="5">
        <f t="shared" si="90"/>
        <v>-48.764259313861139</v>
      </c>
      <c r="BL38" s="5">
        <f t="shared" si="90"/>
        <v>-48.945709255740283</v>
      </c>
      <c r="BM38" s="5">
        <f t="shared" si="90"/>
        <v>-49.127556934424426</v>
      </c>
      <c r="BN38" s="5">
        <f t="shared" si="90"/>
        <v>-49.309751709676227</v>
      </c>
      <c r="BO38" s="5">
        <f t="shared" si="90"/>
        <v>-49.492244381349842</v>
      </c>
      <c r="BP38" s="5">
        <f t="shared" si="90"/>
        <v>-49.674987156818489</v>
      </c>
      <c r="BQ38" s="5">
        <f t="shared" si="90"/>
        <v>-49.857933619076029</v>
      </c>
      <c r="BR38" s="5">
        <f t="shared" si="90"/>
        <v>-50.041038695498948</v>
      </c>
      <c r="BS38" s="5">
        <f t="shared" si="90"/>
        <v>-50.224258627256006</v>
      </c>
      <c r="BT38" s="5">
        <f t="shared" ref="BT38:CX46" si="91">PV($F11,BT$9,1,0)+(PV($J$6,$K$6-BT$9,1,0)/($J$6+1)^BT$9)</f>
        <v>-50.407550939352475</v>
      </c>
      <c r="BU38" s="5">
        <f t="shared" si="91"/>
        <v>-50.59087441129639</v>
      </c>
      <c r="BV38" s="5">
        <f t="shared" si="91"/>
        <v>-50.77418904837463</v>
      </c>
      <c r="BW38" s="5">
        <f t="shared" si="91"/>
        <v>-50.957456053526457</v>
      </c>
      <c r="BX38" s="5">
        <f t="shared" si="91"/>
        <v>-51.140637799802882</v>
      </c>
      <c r="BY38" s="5">
        <f t="shared" si="91"/>
        <v>-51.323697803400101</v>
      </c>
      <c r="BZ38" s="5">
        <f t="shared" si="91"/>
        <v>-51.506600697255578</v>
      </c>
      <c r="CA38" s="5">
        <f t="shared" si="91"/>
        <v>-51.689312205195606</v>
      </c>
      <c r="CB38" s="5">
        <f t="shared" si="91"/>
        <v>-51.871799116623357</v>
      </c>
      <c r="CC38" s="5">
        <f t="shared" si="91"/>
        <v>-52.05402926173668</v>
      </c>
      <c r="CD38" s="5">
        <f t="shared" si="91"/>
        <v>-52.235971487265061</v>
      </c>
      <c r="CE38" s="5">
        <f t="shared" si="91"/>
        <v>-52.417595632715312</v>
      </c>
      <c r="CF38" s="5">
        <f t="shared" si="91"/>
        <v>-52.598872507116091</v>
      </c>
      <c r="CG38" s="5">
        <f t="shared" si="91"/>
        <v>-52.779773866251027</v>
      </c>
      <c r="CH38" s="5">
        <f t="shared" si="91"/>
        <v>-52.96027239037074</v>
      </c>
      <c r="CI38" s="5">
        <f t="shared" si="91"/>
        <v>-53.140341662374368</v>
      </c>
      <c r="CJ38" s="5">
        <f t="shared" si="91"/>
        <v>-53.319956146451084</v>
      </c>
      <c r="CK38" s="5">
        <f t="shared" si="91"/>
        <v>-53.499091167172246</v>
      </c>
      <c r="CL38" s="5">
        <f t="shared" si="91"/>
        <v>-53.677722889025496</v>
      </c>
      <c r="CM38" s="5">
        <f t="shared" si="91"/>
        <v>-53.677722889025496</v>
      </c>
      <c r="CN38" s="5">
        <f t="shared" si="91"/>
        <v>-53.677722889025496</v>
      </c>
      <c r="CO38" s="5">
        <f t="shared" si="91"/>
        <v>-53.677722889025496</v>
      </c>
      <c r="CP38" s="5">
        <f t="shared" si="91"/>
        <v>-53.677722889025496</v>
      </c>
      <c r="CQ38" s="5">
        <f t="shared" si="91"/>
        <v>-53.677722889025496</v>
      </c>
      <c r="CR38" s="5">
        <f t="shared" si="91"/>
        <v>-53.677722889025496</v>
      </c>
      <c r="CS38" s="5">
        <f t="shared" si="91"/>
        <v>-53.677722889025496</v>
      </c>
      <c r="CT38" s="5">
        <f t="shared" si="91"/>
        <v>-53.677722889025496</v>
      </c>
      <c r="CU38" s="5">
        <f t="shared" si="91"/>
        <v>-53.677722889025496</v>
      </c>
      <c r="CV38" s="5">
        <f t="shared" si="91"/>
        <v>-53.677722889025496</v>
      </c>
      <c r="CW38" s="5">
        <f t="shared" si="91"/>
        <v>-53.677722889025496</v>
      </c>
      <c r="CX38" s="5">
        <f t="shared" si="91"/>
        <v>-53.677722889025496</v>
      </c>
      <c r="CY38" s="5">
        <f t="shared" ref="CY38:DM45" si="92">PV($F11,CY$9,1,0)+(PV($J$6,$K$6-CY$9,1,0)/($J$6+1)^CY$9)</f>
        <v>-53.677722889025496</v>
      </c>
      <c r="CZ38" s="5">
        <f t="shared" si="92"/>
        <v>-53.677722889025496</v>
      </c>
      <c r="DA38" s="5">
        <f t="shared" si="92"/>
        <v>-53.677722889025496</v>
      </c>
      <c r="DB38" s="5">
        <f t="shared" ref="DB38:DC38" si="93">PV($F11,DB$9,1,0)+(PV($J$6,$K$6-DB$9,1,0)/($J$6+1)^DB$9)</f>
        <v>-53.677722889025496</v>
      </c>
      <c r="DC38" s="5">
        <f t="shared" si="93"/>
        <v>-53.677722889025496</v>
      </c>
      <c r="DD38" s="5">
        <f t="shared" si="92"/>
        <v>-53.677722889025496</v>
      </c>
      <c r="DE38" s="5">
        <f t="shared" ref="DE38:DF38" si="94">PV($F11,DE$9,1,0)+(PV($J$6,$K$6-DE$9,1,0)/($J$6+1)^DE$9)</f>
        <v>-53.677722889025496</v>
      </c>
      <c r="DF38" s="5">
        <f t="shared" si="94"/>
        <v>-53.677722889025496</v>
      </c>
      <c r="DG38" s="5">
        <f t="shared" si="92"/>
        <v>-53.677722889025496</v>
      </c>
      <c r="DH38" s="5">
        <f t="shared" ref="DH38:DI38" si="95">PV($F11,DH$9,1,0)+(PV($J$6,$K$6-DH$9,1,0)/($J$6+1)^DH$9)</f>
        <v>-53.677722889025496</v>
      </c>
      <c r="DI38" s="5">
        <f t="shared" si="95"/>
        <v>-53.677722889025496</v>
      </c>
      <c r="DJ38" s="5">
        <f t="shared" si="92"/>
        <v>-53.677722889025496</v>
      </c>
      <c r="DK38" s="5">
        <f t="shared" ref="DK38:DL38" si="96">PV($F11,DK$9,1,0)+(PV($J$6,$K$6-DK$9,1,0)/($J$6+1)^DK$9)</f>
        <v>-53.677722889025496</v>
      </c>
      <c r="DL38" s="5">
        <f t="shared" si="96"/>
        <v>-53.677722889025496</v>
      </c>
      <c r="DM38" s="5">
        <f t="shared" si="92"/>
        <v>-53.677722889025496</v>
      </c>
      <c r="DN38" s="5">
        <f t="shared" ref="DA38:DV45" si="97">PV($F11,DN$9,1,0)+(PV($J$6,$K$6-DN$9,1,0)/($J$6+1)^DN$9)</f>
        <v>-53.677722889025496</v>
      </c>
      <c r="DO38" s="5">
        <f t="shared" si="97"/>
        <v>-53.677722889025496</v>
      </c>
      <c r="DP38" s="5">
        <f t="shared" si="97"/>
        <v>-53.677722889025496</v>
      </c>
      <c r="DQ38" s="5">
        <f t="shared" si="97"/>
        <v>-53.677722889025496</v>
      </c>
      <c r="DR38" s="5">
        <f t="shared" si="97"/>
        <v>-53.677722889025496</v>
      </c>
      <c r="DS38" s="5">
        <f t="shared" si="97"/>
        <v>-53.677722889025496</v>
      </c>
      <c r="DT38" s="5">
        <f t="shared" si="97"/>
        <v>-53.677722889025496</v>
      </c>
      <c r="DU38" s="5">
        <f t="shared" si="97"/>
        <v>-53.677722889025496</v>
      </c>
      <c r="DV38" s="5">
        <f t="shared" si="97"/>
        <v>-53.677722889025496</v>
      </c>
      <c r="DW38" s="5">
        <f t="shared" ref="DW38:ET38" si="98">PV($F11,DW$9,1,0)+(PV($J$6,$K$6-DW$9,1,0)/($J$6+1)^DW$9)</f>
        <v>-53.677722889025496</v>
      </c>
      <c r="DX38" s="5">
        <f t="shared" si="98"/>
        <v>-53.677722889025496</v>
      </c>
      <c r="DY38" s="5">
        <f t="shared" si="98"/>
        <v>-53.677722889025496</v>
      </c>
      <c r="DZ38" s="5">
        <f t="shared" si="98"/>
        <v>-53.677722889025496</v>
      </c>
      <c r="EA38" s="5">
        <f t="shared" si="98"/>
        <v>-53.677722889025496</v>
      </c>
      <c r="EB38" s="5">
        <f t="shared" si="98"/>
        <v>-53.677722889025496</v>
      </c>
      <c r="EC38" s="5">
        <f t="shared" si="98"/>
        <v>-53.677722889025496</v>
      </c>
      <c r="ED38" s="5">
        <f t="shared" si="98"/>
        <v>-53.677722889025496</v>
      </c>
      <c r="EE38" s="5">
        <f t="shared" si="98"/>
        <v>-53.677722889025496</v>
      </c>
      <c r="EF38" s="5">
        <f t="shared" si="98"/>
        <v>-53.677722889025496</v>
      </c>
      <c r="EG38" s="5">
        <f t="shared" si="98"/>
        <v>-53.677722889025496</v>
      </c>
      <c r="EH38" s="5">
        <f t="shared" si="98"/>
        <v>-53.677722889025496</v>
      </c>
      <c r="EI38" s="5">
        <f t="shared" si="98"/>
        <v>-53.677722889025496</v>
      </c>
      <c r="EJ38" s="5">
        <f t="shared" si="98"/>
        <v>-53.677722889025496</v>
      </c>
      <c r="EK38" s="5">
        <f t="shared" si="98"/>
        <v>-53.677722889025496</v>
      </c>
      <c r="EL38" s="5">
        <f t="shared" si="98"/>
        <v>-53.677722889025496</v>
      </c>
      <c r="EM38" s="5">
        <f t="shared" si="98"/>
        <v>-53.677722889025496</v>
      </c>
      <c r="EN38" s="5">
        <f t="shared" si="98"/>
        <v>-53.677722889025496</v>
      </c>
      <c r="EO38" s="5">
        <f t="shared" si="98"/>
        <v>-53.677722889025496</v>
      </c>
      <c r="EP38" s="5">
        <f t="shared" si="98"/>
        <v>-53.677722889025496</v>
      </c>
      <c r="EQ38" s="5">
        <f t="shared" si="98"/>
        <v>-53.677722889025496</v>
      </c>
      <c r="ER38" s="5">
        <f t="shared" si="98"/>
        <v>-53.677722889025496</v>
      </c>
      <c r="ES38" s="5">
        <f t="shared" si="98"/>
        <v>-53.677722889025496</v>
      </c>
      <c r="ET38" s="5">
        <f t="shared" si="98"/>
        <v>-53.677722889025496</v>
      </c>
      <c r="FF38" s="130" t="s">
        <v>181</v>
      </c>
      <c r="FG38" s="12">
        <v>2.2499999999999999E-2</v>
      </c>
      <c r="FH38" s="12">
        <v>120</v>
      </c>
      <c r="FI38" s="12">
        <v>2.1600000000000001E-2</v>
      </c>
      <c r="FJ38" s="82">
        <v>1.9099999999999999E-2</v>
      </c>
      <c r="FK38" s="134">
        <f t="shared" si="62"/>
        <v>1.8888888888888891E-4</v>
      </c>
      <c r="FL38">
        <f>VLOOKUP(FF38,'SIMULADOR COM SALDO'!$BF$22:$BS$268,13,FALSE)</f>
        <v>2.2499999999999999E-2</v>
      </c>
    </row>
    <row r="39" spans="5:168" hidden="1" x14ac:dyDescent="0.25">
      <c r="G39" s="5">
        <f t="shared" si="89"/>
        <v>-41.678454252879249</v>
      </c>
      <c r="H39" s="5">
        <f t="shared" si="90"/>
        <v>-41.692162338677768</v>
      </c>
      <c r="I39" s="5">
        <f t="shared" si="90"/>
        <v>-41.712410734678329</v>
      </c>
      <c r="J39" s="5">
        <f t="shared" si="90"/>
        <v>-41.738996778922477</v>
      </c>
      <c r="K39" s="5">
        <f t="shared" si="90"/>
        <v>-41.771722551269526</v>
      </c>
      <c r="L39" s="5">
        <f t="shared" si="90"/>
        <v>-41.810394773409044</v>
      </c>
      <c r="M39" s="5">
        <f t="shared" si="90"/>
        <v>-41.854824710877992</v>
      </c>
      <c r="N39" s="5">
        <f t="shared" si="90"/>
        <v>-41.904828077044094</v>
      </c>
      <c r="O39" s="5">
        <f t="shared" si="90"/>
        <v>-41.960224939016236</v>
      </c>
      <c r="P39" s="5">
        <f t="shared" si="90"/>
        <v>-42.020839625444978</v>
      </c>
      <c r="Q39" s="5">
        <f t="shared" si="90"/>
        <v>-42.086500636175806</v>
      </c>
      <c r="R39" s="5">
        <f t="shared" si="90"/>
        <v>-42.157040553719263</v>
      </c>
      <c r="S39" s="5">
        <f t="shared" si="90"/>
        <v>-42.232295956502121</v>
      </c>
      <c r="T39" s="5">
        <f t="shared" si="90"/>
        <v>-42.312107333865086</v>
      </c>
      <c r="U39" s="5">
        <f t="shared" si="90"/>
        <v>-42.396319002772586</v>
      </c>
      <c r="V39" s="5">
        <f t="shared" si="90"/>
        <v>-42.484779026201508</v>
      </c>
      <c r="W39" s="5">
        <f t="shared" si="90"/>
        <v>-42.577339133175634</v>
      </c>
      <c r="X39" s="5">
        <f t="shared" si="90"/>
        <v>-42.673854640413893</v>
      </c>
      <c r="Y39" s="5">
        <f t="shared" si="90"/>
        <v>-42.774184375560594</v>
      </c>
      <c r="Z39" s="5">
        <f t="shared" si="90"/>
        <v>-42.878190601966821</v>
      </c>
      <c r="AA39" s="5">
        <f t="shared" si="90"/>
        <v>-42.985738944992491</v>
      </c>
      <c r="AB39" s="5">
        <f t="shared" si="90"/>
        <v>-43.096698319799287</v>
      </c>
      <c r="AC39" s="5">
        <f t="shared" si="90"/>
        <v>-43.210940860605291</v>
      </c>
      <c r="AD39" s="5">
        <f t="shared" si="90"/>
        <v>-43.328341851372514</v>
      </c>
      <c r="AE39" s="5">
        <f t="shared" si="90"/>
        <v>-43.448779657899422</v>
      </c>
      <c r="AF39" s="5">
        <f t="shared" si="90"/>
        <v>-43.572135661290638</v>
      </c>
      <c r="AG39" s="5">
        <f t="shared" si="90"/>
        <v>-43.698294192776871</v>
      </c>
      <c r="AH39" s="5">
        <f t="shared" si="90"/>
        <v>-43.827142469858728</v>
      </c>
      <c r="AI39" s="5">
        <f t="shared" si="90"/>
        <v>-43.958570533748009</v>
      </c>
      <c r="AJ39" s="5">
        <f t="shared" si="90"/>
        <v>-44.09247118808139</v>
      </c>
      <c r="AK39" s="5">
        <f t="shared" si="90"/>
        <v>-44.228739938881169</v>
      </c>
      <c r="AL39" s="5">
        <f t="shared" si="90"/>
        <v>-44.367274935738692</v>
      </c>
      <c r="AM39" s="5">
        <f t="shared" si="90"/>
        <v>-44.507976914196327</v>
      </c>
      <c r="AN39" s="5">
        <f t="shared" si="90"/>
        <v>-44.650749139304516</v>
      </c>
      <c r="AO39" s="5">
        <f t="shared" si="90"/>
        <v>-44.79549735033055</v>
      </c>
      <c r="AP39" s="5">
        <f t="shared" si="90"/>
        <v>-44.94212970659656</v>
      </c>
      <c r="AQ39" s="5">
        <f t="shared" si="90"/>
        <v>-45.090556734424332</v>
      </c>
      <c r="AR39" s="5">
        <f t="shared" si="90"/>
        <v>-45.240691275165332</v>
      </c>
      <c r="AS39" s="5">
        <f t="shared" si="90"/>
        <v>-45.392448434294131</v>
      </c>
      <c r="AT39" s="5">
        <f t="shared" si="90"/>
        <v>-45.545745531544775</v>
      </c>
      <c r="AU39" s="5">
        <f t="shared" si="90"/>
        <v>-45.700502052069076</v>
      </c>
      <c r="AV39" s="5">
        <f t="shared" si="90"/>
        <v>-45.856639598596779</v>
      </c>
      <c r="AW39" s="5">
        <f t="shared" si="90"/>
        <v>-46.014081844577937</v>
      </c>
      <c r="AX39" s="5">
        <f t="shared" si="90"/>
        <v>-46.172754488287879</v>
      </c>
      <c r="AY39" s="5">
        <f t="shared" si="90"/>
        <v>-46.332585207875837</v>
      </c>
      <c r="AZ39" s="5">
        <f t="shared" si="90"/>
        <v>-46.493503617338618</v>
      </c>
      <c r="BA39" s="5">
        <f t="shared" si="90"/>
        <v>-46.655441223400807</v>
      </c>
      <c r="BB39" s="5">
        <f t="shared" si="90"/>
        <v>-46.818331383283841</v>
      </c>
      <c r="BC39" s="5">
        <f t="shared" si="90"/>
        <v>-46.982109263346075</v>
      </c>
      <c r="BD39" s="5">
        <f t="shared" si="90"/>
        <v>-47.14671179857676</v>
      </c>
      <c r="BE39" s="5">
        <f t="shared" si="90"/>
        <v>-47.312077652926874</v>
      </c>
      <c r="BF39" s="5">
        <f t="shared" si="90"/>
        <v>-47.478147180460368</v>
      </c>
      <c r="BG39" s="5">
        <f t="shared" si="90"/>
        <v>-47.64486238730931</v>
      </c>
      <c r="BH39" s="5">
        <f t="shared" si="90"/>
        <v>-47.812166894417246</v>
      </c>
      <c r="BI39" s="5">
        <f t="shared" si="90"/>
        <v>-47.980005901054824</v>
      </c>
      <c r="BJ39" s="5">
        <f t="shared" si="90"/>
        <v>-48.148326149092597</v>
      </c>
      <c r="BK39" s="5">
        <f t="shared" si="90"/>
        <v>-48.317075888015843</v>
      </c>
      <c r="BL39" s="5">
        <f t="shared" si="90"/>
        <v>-48.486204840666545</v>
      </c>
      <c r="BM39" s="5">
        <f t="shared" si="90"/>
        <v>-48.655664169698227</v>
      </c>
      <c r="BN39" s="5">
        <f t="shared" si="90"/>
        <v>-48.82540644472936</v>
      </c>
      <c r="BO39" s="5">
        <f t="shared" si="90"/>
        <v>-48.99538561018143</v>
      </c>
      <c r="BP39" s="5">
        <f t="shared" si="90"/>
        <v>-49.165556953788055</v>
      </c>
      <c r="BQ39" s="5">
        <f t="shared" si="90"/>
        <v>-49.335877075761722</v>
      </c>
      <c r="BR39" s="5">
        <f t="shared" si="90"/>
        <v>-49.506303858605051</v>
      </c>
      <c r="BS39" s="5">
        <f t="shared" si="90"/>
        <v>-49.676796437553755</v>
      </c>
      <c r="BT39" s="5">
        <f t="shared" si="91"/>
        <v>-49.847315171638563</v>
      </c>
      <c r="BU39" s="5">
        <f t="shared" si="91"/>
        <v>-50.017821615353952</v>
      </c>
      <c r="BV39" s="5">
        <f t="shared" si="91"/>
        <v>-50.18827849092132</v>
      </c>
      <c r="BW39" s="5">
        <f t="shared" si="91"/>
        <v>-50.35864966113482</v>
      </c>
      <c r="BX39" s="5">
        <f t="shared" si="91"/>
        <v>-50.528900102778238</v>
      </c>
      <c r="BY39" s="5">
        <f t="shared" si="91"/>
        <v>-50.698995880601416</v>
      </c>
      <c r="BZ39" s="5">
        <f t="shared" si="91"/>
        <v>-50.868904121845063</v>
      </c>
      <c r="CA39" s="5">
        <f t="shared" si="91"/>
        <v>-51.038592991302821</v>
      </c>
      <c r="CB39" s="5">
        <f t="shared" si="91"/>
        <v>-51.208031666910024</v>
      </c>
      <c r="CC39" s="5">
        <f t="shared" si="91"/>
        <v>-51.377190315848473</v>
      </c>
      <c r="CD39" s="5">
        <f t="shared" si="91"/>
        <v>-51.546040071156781</v>
      </c>
      <c r="CE39" s="5">
        <f t="shared" si="91"/>
        <v>-51.714553008836262</v>
      </c>
      <c r="CF39" s="5">
        <f t="shared" si="91"/>
        <v>-51.882702125442471</v>
      </c>
      <c r="CG39" s="5">
        <f t="shared" si="91"/>
        <v>-52.05046131615228</v>
      </c>
      <c r="CH39" s="5">
        <f t="shared" si="91"/>
        <v>-52.217805353297386</v>
      </c>
      <c r="CI39" s="5">
        <f t="shared" si="91"/>
        <v>-52.384709865354495</v>
      </c>
      <c r="CJ39" s="5">
        <f t="shared" si="91"/>
        <v>-52.551151316383184</v>
      </c>
      <c r="CK39" s="5">
        <f t="shared" si="91"/>
        <v>-52.717106985902305</v>
      </c>
      <c r="CL39" s="5">
        <f t="shared" si="91"/>
        <v>-52.882554949196148</v>
      </c>
      <c r="CM39" s="5">
        <f t="shared" si="91"/>
        <v>-52.882554949196148</v>
      </c>
      <c r="CN39" s="5">
        <f t="shared" si="91"/>
        <v>-52.882554949196148</v>
      </c>
      <c r="CO39" s="5">
        <f t="shared" si="91"/>
        <v>-52.882554949196148</v>
      </c>
      <c r="CP39" s="5">
        <f t="shared" si="91"/>
        <v>-52.882554949196148</v>
      </c>
      <c r="CQ39" s="5">
        <f t="shared" si="91"/>
        <v>-52.882554949196148</v>
      </c>
      <c r="CR39" s="5">
        <f t="shared" si="91"/>
        <v>-52.882554949196148</v>
      </c>
      <c r="CS39" s="5">
        <f t="shared" si="91"/>
        <v>-52.882554949196148</v>
      </c>
      <c r="CT39" s="5">
        <f t="shared" si="91"/>
        <v>-52.882554949196148</v>
      </c>
      <c r="CU39" s="5">
        <f t="shared" si="91"/>
        <v>-52.882554949196148</v>
      </c>
      <c r="CV39" s="5">
        <f t="shared" si="91"/>
        <v>-52.882554949196148</v>
      </c>
      <c r="CW39" s="5">
        <f t="shared" si="91"/>
        <v>-52.882554949196148</v>
      </c>
      <c r="CX39" s="5">
        <f t="shared" si="91"/>
        <v>-52.882554949196148</v>
      </c>
      <c r="CY39" s="5">
        <f t="shared" si="92"/>
        <v>-52.882554949196148</v>
      </c>
      <c r="CZ39" s="5">
        <f t="shared" si="92"/>
        <v>-52.882554949196148</v>
      </c>
      <c r="DA39" s="5">
        <f t="shared" si="97"/>
        <v>-52.882554949196148</v>
      </c>
      <c r="DB39" s="5">
        <f t="shared" si="97"/>
        <v>-52.882554949196148</v>
      </c>
      <c r="DC39" s="5">
        <f t="shared" si="97"/>
        <v>-52.882554949196148</v>
      </c>
      <c r="DD39" s="5">
        <f t="shared" si="97"/>
        <v>-52.882554949196148</v>
      </c>
      <c r="DE39" s="5">
        <f t="shared" si="97"/>
        <v>-52.882554949196148</v>
      </c>
      <c r="DF39" s="5">
        <f t="shared" si="97"/>
        <v>-52.882554949196148</v>
      </c>
      <c r="DG39" s="5">
        <f t="shared" si="97"/>
        <v>-52.882554949196148</v>
      </c>
      <c r="DH39" s="5">
        <f t="shared" si="97"/>
        <v>-52.882554949196148</v>
      </c>
      <c r="DI39" s="5">
        <f t="shared" si="97"/>
        <v>-52.882554949196148</v>
      </c>
      <c r="DJ39" s="5">
        <f t="shared" si="97"/>
        <v>-52.882554949196148</v>
      </c>
      <c r="DK39" s="5">
        <f t="shared" si="97"/>
        <v>-52.882554949196148</v>
      </c>
      <c r="DL39" s="5">
        <f t="shared" si="97"/>
        <v>-52.882554949196148</v>
      </c>
      <c r="DM39" s="5">
        <f t="shared" si="97"/>
        <v>-52.882554949196148</v>
      </c>
      <c r="DN39" s="5">
        <f t="shared" si="97"/>
        <v>-52.882554949196148</v>
      </c>
      <c r="DO39" s="5">
        <f t="shared" si="97"/>
        <v>-52.882554949196148</v>
      </c>
      <c r="DP39" s="5">
        <f t="shared" si="97"/>
        <v>-52.882554949196148</v>
      </c>
      <c r="DQ39" s="5">
        <f t="shared" si="97"/>
        <v>-52.882554949196148</v>
      </c>
      <c r="DR39" s="5">
        <f t="shared" si="97"/>
        <v>-52.882554949196148</v>
      </c>
      <c r="DS39" s="5">
        <f t="shared" si="97"/>
        <v>-52.882554949196148</v>
      </c>
      <c r="DT39" s="5">
        <f t="shared" si="97"/>
        <v>-52.882554949196148</v>
      </c>
      <c r="DU39" s="5">
        <f t="shared" si="97"/>
        <v>-52.882554949196148</v>
      </c>
      <c r="DV39" s="5">
        <f t="shared" si="97"/>
        <v>-52.882554949196148</v>
      </c>
      <c r="DW39" s="5">
        <f t="shared" ref="DW39:ET39" si="99">PV($F12,DW$9,1,0)+(PV($J$6,$K$6-DW$9,1,0)/($J$6+1)^DW$9)</f>
        <v>-52.882554949196148</v>
      </c>
      <c r="DX39" s="5">
        <f t="shared" si="99"/>
        <v>-52.882554949196148</v>
      </c>
      <c r="DY39" s="5">
        <f t="shared" si="99"/>
        <v>-52.882554949196148</v>
      </c>
      <c r="DZ39" s="5">
        <f t="shared" si="99"/>
        <v>-52.882554949196148</v>
      </c>
      <c r="EA39" s="5">
        <f t="shared" si="99"/>
        <v>-52.882554949196148</v>
      </c>
      <c r="EB39" s="5">
        <f t="shared" si="99"/>
        <v>-52.882554949196148</v>
      </c>
      <c r="EC39" s="5">
        <f t="shared" si="99"/>
        <v>-52.882554949196148</v>
      </c>
      <c r="ED39" s="5">
        <f t="shared" si="99"/>
        <v>-52.882554949196148</v>
      </c>
      <c r="EE39" s="5">
        <f t="shared" si="99"/>
        <v>-52.882554949196148</v>
      </c>
      <c r="EF39" s="5">
        <f t="shared" si="99"/>
        <v>-52.882554949196148</v>
      </c>
      <c r="EG39" s="5">
        <f t="shared" si="99"/>
        <v>-52.882554949196148</v>
      </c>
      <c r="EH39" s="5">
        <f t="shared" si="99"/>
        <v>-52.882554949196148</v>
      </c>
      <c r="EI39" s="5">
        <f t="shared" si="99"/>
        <v>-52.882554949196148</v>
      </c>
      <c r="EJ39" s="5">
        <f t="shared" si="99"/>
        <v>-52.882554949196148</v>
      </c>
      <c r="EK39" s="5">
        <f t="shared" si="99"/>
        <v>-52.882554949196148</v>
      </c>
      <c r="EL39" s="5">
        <f t="shared" si="99"/>
        <v>-52.882554949196148</v>
      </c>
      <c r="EM39" s="5">
        <f t="shared" si="99"/>
        <v>-52.882554949196148</v>
      </c>
      <c r="EN39" s="5">
        <f t="shared" si="99"/>
        <v>-52.882554949196148</v>
      </c>
      <c r="EO39" s="5">
        <f t="shared" si="99"/>
        <v>-52.882554949196148</v>
      </c>
      <c r="EP39" s="5">
        <f t="shared" si="99"/>
        <v>-52.882554949196148</v>
      </c>
      <c r="EQ39" s="5">
        <f t="shared" si="99"/>
        <v>-52.882554949196148</v>
      </c>
      <c r="ER39" s="5">
        <f t="shared" si="99"/>
        <v>-52.882554949196148</v>
      </c>
      <c r="ES39" s="5">
        <f t="shared" si="99"/>
        <v>-52.882554949196148</v>
      </c>
      <c r="ET39" s="5">
        <f t="shared" si="99"/>
        <v>-52.882554949196148</v>
      </c>
      <c r="FF39" s="130" t="s">
        <v>184</v>
      </c>
      <c r="FG39" s="12">
        <v>2.4E-2</v>
      </c>
      <c r="FH39" s="12">
        <v>120</v>
      </c>
      <c r="FI39" s="12">
        <v>1.7899999999999999E-2</v>
      </c>
      <c r="FJ39" s="82">
        <v>1.6399999999999998E-2</v>
      </c>
      <c r="FK39" s="134">
        <f t="shared" si="62"/>
        <v>4.2222222222222238E-4</v>
      </c>
      <c r="FL39">
        <f>VLOOKUP(FF39,'SIMULADOR COM SALDO'!$BF$22:$BS$268,13,FALSE)</f>
        <v>2.4E-2</v>
      </c>
    </row>
    <row r="40" spans="5:168" hidden="1" x14ac:dyDescent="0.25">
      <c r="G40" s="5">
        <f t="shared" si="89"/>
        <v>-41.678042093060846</v>
      </c>
      <c r="H40" s="5">
        <f t="shared" si="90"/>
        <v>-41.69093574103232</v>
      </c>
      <c r="I40" s="5">
        <f t="shared" si="90"/>
        <v>-41.709977125297179</v>
      </c>
      <c r="J40" s="5">
        <f t="shared" si="90"/>
        <v>-41.734973113128156</v>
      </c>
      <c r="K40" s="5">
        <f t="shared" si="90"/>
        <v>-41.765735141545491</v>
      </c>
      <c r="L40" s="5">
        <f t="shared" si="90"/>
        <v>-41.802079120085793</v>
      </c>
      <c r="M40" s="5">
        <f t="shared" si="90"/>
        <v>-41.843825335534405</v>
      </c>
      <c r="N40" s="5">
        <f t="shared" si="90"/>
        <v>-41.89079835858292</v>
      </c>
      <c r="O40" s="5">
        <f t="shared" si="90"/>
        <v>-41.942826952374006</v>
      </c>
      <c r="P40" s="5">
        <f t="shared" si="90"/>
        <v>-41.999743982896241</v>
      </c>
      <c r="Q40" s="5">
        <f t="shared" si="90"/>
        <v>-42.061386331192956</v>
      </c>
      <c r="R40" s="5">
        <f t="shared" si="90"/>
        <v>-42.127594807349404</v>
      </c>
      <c r="S40" s="5">
        <f t="shared" si="90"/>
        <v>-42.198214066223073</v>
      </c>
      <c r="T40" s="5">
        <f t="shared" si="90"/>
        <v>-42.273092524883168</v>
      </c>
      <c r="U40" s="5">
        <f t="shared" si="90"/>
        <v>-42.352082281725266</v>
      </c>
      <c r="V40" s="5">
        <f t="shared" si="90"/>
        <v>-42.435039037228705</v>
      </c>
      <c r="W40" s="5">
        <f t="shared" si="90"/>
        <v>-42.521822016323959</v>
      </c>
      <c r="X40" s="5">
        <f t="shared" si="90"/>
        <v>-42.612293892338371</v>
      </c>
      <c r="Y40" s="5">
        <f t="shared" si="90"/>
        <v>-42.706320712489372</v>
      </c>
      <c r="Z40" s="5">
        <f t="shared" si="90"/>
        <v>-42.803771824894412</v>
      </c>
      <c r="AA40" s="5">
        <f t="shared" si="90"/>
        <v>-42.904519807067899</v>
      </c>
      <c r="AB40" s="5">
        <f t="shared" si="90"/>
        <v>-43.008440395875837</v>
      </c>
      <c r="AC40" s="5">
        <f t="shared" si="90"/>
        <v>-43.115412418919192</v>
      </c>
      <c r="AD40" s="5">
        <f t="shared" si="90"/>
        <v>-43.225317727318028</v>
      </c>
      <c r="AE40" s="5">
        <f t="shared" si="90"/>
        <v>-43.338041129868799</v>
      </c>
      <c r="AF40" s="5">
        <f t="shared" si="90"/>
        <v>-43.453470328547269</v>
      </c>
      <c r="AG40" s="5">
        <f t="shared" si="90"/>
        <v>-43.571495855330994</v>
      </c>
      <c r="AH40" s="5">
        <f t="shared" si="90"/>
        <v>-43.692011010314985</v>
      </c>
      <c r="AI40" s="5">
        <f t="shared" si="90"/>
        <v>-43.814911801095121</v>
      </c>
      <c r="AJ40" s="5">
        <f t="shared" si="90"/>
        <v>-43.940096883394034</v>
      </c>
      <c r="AK40" s="5">
        <f t="shared" si="90"/>
        <v>-44.067467502905131</v>
      </c>
      <c r="AL40" s="5">
        <f t="shared" si="90"/>
        <v>-44.196927438330469</v>
      </c>
      <c r="AM40" s="5">
        <f t="shared" si="90"/>
        <v>-44.328382945588977</v>
      </c>
      <c r="AN40" s="5">
        <f t="shared" si="90"/>
        <v>-44.461742703171673</v>
      </c>
      <c r="AO40" s="5">
        <f t="shared" si="90"/>
        <v>-44.596917758621231</v>
      </c>
      <c r="AP40" s="5">
        <f t="shared" si="90"/>
        <v>-44.733821476113697</v>
      </c>
      <c r="AQ40" s="5">
        <f t="shared" si="90"/>
        <v>-44.872369485120274</v>
      </c>
      <c r="AR40" s="5">
        <f t="shared" si="90"/>
        <v>-45.012479630127984</v>
      </c>
      <c r="AS40" s="5">
        <f t="shared" si="90"/>
        <v>-45.154071921397879</v>
      </c>
      <c r="AT40" s="5">
        <f t="shared" si="90"/>
        <v>-45.297068486740585</v>
      </c>
      <c r="AU40" s="5">
        <f t="shared" si="90"/>
        <v>-45.441393524288692</v>
      </c>
      <c r="AV40" s="5">
        <f t="shared" si="90"/>
        <v>-45.586973256246097</v>
      </c>
      <c r="AW40" s="5">
        <f t="shared" si="90"/>
        <v>-45.733735883595166</v>
      </c>
      <c r="AX40" s="5">
        <f t="shared" si="90"/>
        <v>-45.881611541742416</v>
      </c>
      <c r="AY40" s="5">
        <f t="shared" si="90"/>
        <v>-46.030532257084154</v>
      </c>
      <c r="AZ40" s="5">
        <f t="shared" si="90"/>
        <v>-46.180431904473707</v>
      </c>
      <c r="BA40" s="5">
        <f t="shared" si="90"/>
        <v>-46.331246165572189</v>
      </c>
      <c r="BB40" s="5">
        <f t="shared" si="90"/>
        <v>-46.482912488065409</v>
      </c>
      <c r="BC40" s="5">
        <f t="shared" si="90"/>
        <v>-46.635370045729459</v>
      </c>
      <c r="BD40" s="5">
        <f t="shared" si="90"/>
        <v>-46.788559699328061</v>
      </c>
      <c r="BE40" s="5">
        <f t="shared" si="90"/>
        <v>-46.942423958325236</v>
      </c>
      <c r="BF40" s="5">
        <f t="shared" si="90"/>
        <v>-47.096906943396732</v>
      </c>
      <c r="BG40" s="5">
        <f t="shared" si="90"/>
        <v>-47.251954349724507</v>
      </c>
      <c r="BH40" s="5">
        <f t="shared" si="90"/>
        <v>-47.407513411058531</v>
      </c>
      <c r="BI40" s="5">
        <f t="shared" si="90"/>
        <v>-47.563532864530409</v>
      </c>
      <c r="BJ40" s="5">
        <f t="shared" si="90"/>
        <v>-47.719962916204004</v>
      </c>
      <c r="BK40" s="5">
        <f t="shared" si="90"/>
        <v>-47.876755207348239</v>
      </c>
      <c r="BL40" s="5">
        <f t="shared" si="90"/>
        <v>-48.03386278141744</v>
      </c>
      <c r="BM40" s="5">
        <f t="shared" si="90"/>
        <v>-48.191240051725302</v>
      </c>
      <c r="BN40" s="5">
        <f t="shared" si="90"/>
        <v>-48.34884276979831</v>
      </c>
      <c r="BO40" s="5">
        <f t="shared" si="90"/>
        <v>-48.506627994395267</v>
      </c>
      <c r="BP40" s="5">
        <f t="shared" si="90"/>
        <v>-48.664554061179338</v>
      </c>
      <c r="BQ40" s="5">
        <f t="shared" si="90"/>
        <v>-48.822580553029432</v>
      </c>
      <c r="BR40" s="5">
        <f t="shared" si="90"/>
        <v>-48.980668270978384</v>
      </c>
      <c r="BS40" s="5">
        <f t="shared" si="90"/>
        <v>-49.138779205765104</v>
      </c>
      <c r="BT40" s="5">
        <f t="shared" si="91"/>
        <v>-49.296876509988387</v>
      </c>
      <c r="BU40" s="5">
        <f t="shared" si="91"/>
        <v>-49.454924470850187</v>
      </c>
      <c r="BV40" s="5">
        <f t="shared" si="91"/>
        <v>-49.612888483476759</v>
      </c>
      <c r="BW40" s="5">
        <f t="shared" si="91"/>
        <v>-49.770735024805667</v>
      </c>
      <c r="BX40" s="5">
        <f t="shared" si="91"/>
        <v>-49.928431628027496</v>
      </c>
      <c r="BY40" s="5">
        <f t="shared" si="91"/>
        <v>-50.085946857571003</v>
      </c>
      <c r="BZ40" s="5">
        <f t="shared" si="91"/>
        <v>-50.243250284620657</v>
      </c>
      <c r="CA40" s="5">
        <f t="shared" si="91"/>
        <v>-50.400312463156055</v>
      </c>
      <c r="CB40" s="5">
        <f t="shared" si="91"/>
        <v>-50.557104906502282</v>
      </c>
      <c r="CC40" s="5">
        <f t="shared" si="91"/>
        <v>-50.713600064381254</v>
      </c>
      <c r="CD40" s="5">
        <f t="shared" si="91"/>
        <v>-50.869771300453699</v>
      </c>
      <c r="CE40" s="5">
        <f t="shared" si="91"/>
        <v>-51.025592870341903</v>
      </c>
      <c r="CF40" s="5">
        <f t="shared" si="91"/>
        <v>-51.181039900123501</v>
      </c>
      <c r="CG40" s="5">
        <f t="shared" si="91"/>
        <v>-51.336088365286642</v>
      </c>
      <c r="CH40" s="5">
        <f t="shared" si="91"/>
        <v>-51.490715070137355</v>
      </c>
      <c r="CI40" s="5">
        <f t="shared" si="91"/>
        <v>-51.644897627649883</v>
      </c>
      <c r="CJ40" s="5">
        <f t="shared" si="91"/>
        <v>-51.798614439750757</v>
      </c>
      <c r="CK40" s="5">
        <f t="shared" si="91"/>
        <v>-51.95184467802823</v>
      </c>
      <c r="CL40" s="5">
        <f t="shared" si="91"/>
        <v>-52.104568264857974</v>
      </c>
      <c r="CM40" s="5">
        <f t="shared" si="91"/>
        <v>-52.104568264857974</v>
      </c>
      <c r="CN40" s="5">
        <f t="shared" si="91"/>
        <v>-52.104568264857974</v>
      </c>
      <c r="CO40" s="5">
        <f t="shared" si="91"/>
        <v>-52.104568264857974</v>
      </c>
      <c r="CP40" s="5">
        <f t="shared" si="91"/>
        <v>-52.104568264857974</v>
      </c>
      <c r="CQ40" s="5">
        <f t="shared" si="91"/>
        <v>-52.104568264857974</v>
      </c>
      <c r="CR40" s="5">
        <f t="shared" si="91"/>
        <v>-52.104568264857974</v>
      </c>
      <c r="CS40" s="5">
        <f t="shared" si="91"/>
        <v>-52.104568264857974</v>
      </c>
      <c r="CT40" s="5">
        <f t="shared" si="91"/>
        <v>-52.104568264857974</v>
      </c>
      <c r="CU40" s="5">
        <f t="shared" si="91"/>
        <v>-52.104568264857974</v>
      </c>
      <c r="CV40" s="5">
        <f t="shared" si="91"/>
        <v>-52.104568264857974</v>
      </c>
      <c r="CW40" s="5">
        <f t="shared" si="91"/>
        <v>-52.104568264857974</v>
      </c>
      <c r="CX40" s="5">
        <f t="shared" si="91"/>
        <v>-52.104568264857974</v>
      </c>
      <c r="CY40" s="5">
        <f t="shared" si="92"/>
        <v>-52.104568264857974</v>
      </c>
      <c r="CZ40" s="5">
        <f t="shared" si="92"/>
        <v>-52.104568264857974</v>
      </c>
      <c r="DA40" s="5">
        <f t="shared" si="97"/>
        <v>-52.104568264857974</v>
      </c>
      <c r="DB40" s="5">
        <f t="shared" si="97"/>
        <v>-52.104568264857974</v>
      </c>
      <c r="DC40" s="5">
        <f t="shared" si="97"/>
        <v>-52.104568264857974</v>
      </c>
      <c r="DD40" s="5">
        <f t="shared" si="97"/>
        <v>-52.104568264857974</v>
      </c>
      <c r="DE40" s="5">
        <f t="shared" si="97"/>
        <v>-52.104568264857974</v>
      </c>
      <c r="DF40" s="5">
        <f t="shared" si="97"/>
        <v>-52.104568264857974</v>
      </c>
      <c r="DG40" s="5">
        <f t="shared" si="97"/>
        <v>-52.104568264857974</v>
      </c>
      <c r="DH40" s="5">
        <f t="shared" si="97"/>
        <v>-52.104568264857974</v>
      </c>
      <c r="DI40" s="5">
        <f t="shared" si="97"/>
        <v>-52.104568264857974</v>
      </c>
      <c r="DJ40" s="5">
        <f t="shared" si="97"/>
        <v>-52.104568264857974</v>
      </c>
      <c r="DK40" s="5">
        <f t="shared" si="97"/>
        <v>-52.104568264857974</v>
      </c>
      <c r="DL40" s="5">
        <f t="shared" si="97"/>
        <v>-52.104568264857974</v>
      </c>
      <c r="DM40" s="5">
        <f t="shared" si="97"/>
        <v>-52.104568264857974</v>
      </c>
      <c r="DN40" s="5">
        <f t="shared" si="97"/>
        <v>-52.104568264857974</v>
      </c>
      <c r="DO40" s="5">
        <f t="shared" si="97"/>
        <v>-52.104568264857974</v>
      </c>
      <c r="DP40" s="5">
        <f t="shared" si="97"/>
        <v>-52.104568264857974</v>
      </c>
      <c r="DQ40" s="5">
        <f t="shared" si="97"/>
        <v>-52.104568264857974</v>
      </c>
      <c r="DR40" s="5">
        <f t="shared" si="97"/>
        <v>-52.104568264857974</v>
      </c>
      <c r="DS40" s="5">
        <f t="shared" si="97"/>
        <v>-52.104568264857974</v>
      </c>
      <c r="DT40" s="5">
        <f t="shared" si="97"/>
        <v>-52.104568264857974</v>
      </c>
      <c r="DU40" s="5">
        <f t="shared" si="97"/>
        <v>-52.104568264857974</v>
      </c>
      <c r="DV40" s="5">
        <f t="shared" si="97"/>
        <v>-52.104568264857974</v>
      </c>
      <c r="DW40" s="5">
        <f t="shared" ref="DW40:ET40" si="100">PV($F13,DW$9,1,0)+(PV($J$6,$K$6-DW$9,1,0)/($J$6+1)^DW$9)</f>
        <v>-52.104568264857974</v>
      </c>
      <c r="DX40" s="5">
        <f t="shared" si="100"/>
        <v>-52.104568264857974</v>
      </c>
      <c r="DY40" s="5">
        <f t="shared" si="100"/>
        <v>-52.104568264857974</v>
      </c>
      <c r="DZ40" s="5">
        <f t="shared" si="100"/>
        <v>-52.104568264857974</v>
      </c>
      <c r="EA40" s="5">
        <f t="shared" si="100"/>
        <v>-52.104568264857974</v>
      </c>
      <c r="EB40" s="5">
        <f t="shared" si="100"/>
        <v>-52.104568264857974</v>
      </c>
      <c r="EC40" s="5">
        <f t="shared" si="100"/>
        <v>-52.104568264857974</v>
      </c>
      <c r="ED40" s="5">
        <f t="shared" si="100"/>
        <v>-52.104568264857974</v>
      </c>
      <c r="EE40" s="5">
        <f t="shared" si="100"/>
        <v>-52.104568264857974</v>
      </c>
      <c r="EF40" s="5">
        <f t="shared" si="100"/>
        <v>-52.104568264857974</v>
      </c>
      <c r="EG40" s="5">
        <f t="shared" si="100"/>
        <v>-52.104568264857974</v>
      </c>
      <c r="EH40" s="5">
        <f t="shared" si="100"/>
        <v>-52.104568264857974</v>
      </c>
      <c r="EI40" s="5">
        <f t="shared" si="100"/>
        <v>-52.104568264857974</v>
      </c>
      <c r="EJ40" s="5">
        <f t="shared" si="100"/>
        <v>-52.104568264857974</v>
      </c>
      <c r="EK40" s="5">
        <f t="shared" si="100"/>
        <v>-52.104568264857974</v>
      </c>
      <c r="EL40" s="5">
        <f t="shared" si="100"/>
        <v>-52.104568264857974</v>
      </c>
      <c r="EM40" s="5">
        <f t="shared" si="100"/>
        <v>-52.104568264857974</v>
      </c>
      <c r="EN40" s="5">
        <f t="shared" si="100"/>
        <v>-52.104568264857974</v>
      </c>
      <c r="EO40" s="5">
        <f t="shared" si="100"/>
        <v>-52.104568264857974</v>
      </c>
      <c r="EP40" s="5">
        <f t="shared" si="100"/>
        <v>-52.104568264857974</v>
      </c>
      <c r="EQ40" s="5">
        <f t="shared" si="100"/>
        <v>-52.104568264857974</v>
      </c>
      <c r="ER40" s="5">
        <f t="shared" si="100"/>
        <v>-52.104568264857974</v>
      </c>
      <c r="ES40" s="5">
        <f t="shared" si="100"/>
        <v>-52.104568264857974</v>
      </c>
      <c r="ET40" s="5">
        <f t="shared" si="100"/>
        <v>-52.104568264857974</v>
      </c>
      <c r="FF40" s="130" t="s">
        <v>188</v>
      </c>
      <c r="FG40" s="12">
        <v>2.5000000000000001E-2</v>
      </c>
      <c r="FH40" s="12">
        <v>120</v>
      </c>
      <c r="FI40" s="12">
        <v>2.1899999999999999E-2</v>
      </c>
      <c r="FJ40" s="82">
        <v>1.9400000000000001E-2</v>
      </c>
      <c r="FK40" s="134">
        <f t="shared" si="62"/>
        <v>3.1111111111111118E-4</v>
      </c>
      <c r="FL40">
        <f>VLOOKUP(FF40,'SIMULADOR COM SALDO'!$BF$22:$BS$268,13,FALSE)</f>
        <v>2.5000000000000001E-2</v>
      </c>
    </row>
    <row r="41" spans="5:168" hidden="1" x14ac:dyDescent="0.25">
      <c r="G41" s="5">
        <f t="shared" si="89"/>
        <v>-41.67763027690112</v>
      </c>
      <c r="H41" s="5">
        <f t="shared" si="90"/>
        <v>-41.689710505450087</v>
      </c>
      <c r="I41" s="5">
        <f t="shared" si="90"/>
        <v>-41.707546889951942</v>
      </c>
      <c r="J41" s="5">
        <f t="shared" si="90"/>
        <v>-41.730956133768487</v>
      </c>
      <c r="K41" s="5">
        <f t="shared" si="90"/>
        <v>-41.759759326268522</v>
      </c>
      <c r="L41" s="5">
        <f t="shared" si="90"/>
        <v>-41.79378184864153</v>
      </c>
      <c r="M41" s="5">
        <f t="shared" si="90"/>
        <v>-41.832853281627479</v>
      </c>
      <c r="N41" s="5">
        <f t="shared" si="90"/>
        <v>-41.876807315125362</v>
      </c>
      <c r="O41" s="5">
        <f t="shared" si="90"/>
        <v>-41.925481659642962</v>
      </c>
      <c r="P41" s="5">
        <f t="shared" si="90"/>
        <v>-41.978717959551631</v>
      </c>
      <c r="Q41" s="5">
        <f t="shared" si="90"/>
        <v>-42.03636170811059</v>
      </c>
      <c r="R41" s="5">
        <f t="shared" si="90"/>
        <v>-42.098262164225517</v>
      </c>
      <c r="S41" s="5">
        <f t="shared" si="90"/>
        <v>-42.164272270907212</v>
      </c>
      <c r="T41" s="5">
        <f t="shared" si="90"/>
        <v>-42.234248575396876</v>
      </c>
      <c r="U41" s="5">
        <f t="shared" si="90"/>
        <v>-42.308051150924712</v>
      </c>
      <c r="V41" s="5">
        <f t="shared" si="90"/>
        <v>-42.385543520069866</v>
      </c>
      <c r="W41" s="5">
        <f t="shared" si="90"/>
        <v>-42.466592579689681</v>
      </c>
      <c r="X41" s="5">
        <f t="shared" si="90"/>
        <v>-42.5510685273874</v>
      </c>
      <c r="Y41" s="5">
        <f t="shared" si="90"/>
        <v>-42.63884478948772</v>
      </c>
      <c r="Z41" s="5">
        <f t="shared" si="90"/>
        <v>-42.729797950490337</v>
      </c>
      <c r="AA41" s="5">
        <f t="shared" si="90"/>
        <v>-42.82380768397212</v>
      </c>
      <c r="AB41" s="5">
        <f t="shared" si="90"/>
        <v>-42.9207566849093</v>
      </c>
      <c r="AC41" s="5">
        <f t="shared" si="90"/>
        <v>-43.020530603391236</v>
      </c>
      <c r="AD41" s="5">
        <f t="shared" si="90"/>
        <v>-43.123017979698432</v>
      </c>
      <c r="AE41" s="5">
        <f t="shared" si="90"/>
        <v>-43.228110180717472</v>
      </c>
      <c r="AF41" s="5">
        <f t="shared" si="90"/>
        <v>-43.335701337666379</v>
      </c>
      <c r="AG41" s="5">
        <f t="shared" si="90"/>
        <v>-43.445688285104339</v>
      </c>
      <c r="AH41" s="5">
        <f t="shared" si="90"/>
        <v>-43.557970501200288</v>
      </c>
      <c r="AI41" s="5">
        <f t="shared" si="90"/>
        <v>-43.672450049235159</v>
      </c>
      <c r="AJ41" s="5">
        <f t="shared" si="90"/>
        <v>-43.789031520313472</v>
      </c>
      <c r="AK41" s="5">
        <f t="shared" si="90"/>
        <v>-43.907621977259893</v>
      </c>
      <c r="AL41" s="5">
        <f t="shared" si="90"/>
        <v>-44.028130899677429</v>
      </c>
      <c r="AM41" s="5">
        <f t="shared" si="90"/>
        <v>-44.150470130143809</v>
      </c>
      <c r="AN41" s="5">
        <f t="shared" si="90"/>
        <v>-44.274553821523682</v>
      </c>
      <c r="AO41" s="5">
        <f t="shared" si="90"/>
        <v>-44.400298385374057</v>
      </c>
      <c r="AP41" s="5">
        <f t="shared" si="90"/>
        <v>-44.527622441421343</v>
      </c>
      <c r="AQ41" s="5">
        <f t="shared" si="90"/>
        <v>-44.656446768088571</v>
      </c>
      <c r="AR41" s="5">
        <f t="shared" si="90"/>
        <v>-44.78669425405171</v>
      </c>
      <c r="AS41" s="5">
        <f t="shared" si="90"/>
        <v>-44.918289850804598</v>
      </c>
      <c r="AT41" s="5">
        <f t="shared" si="90"/>
        <v>-45.051160526212406</v>
      </c>
      <c r="AU41" s="5">
        <f t="shared" si="90"/>
        <v>-45.185235219033544</v>
      </c>
      <c r="AV41" s="5">
        <f t="shared" si="90"/>
        <v>-45.320444794390951</v>
      </c>
      <c r="AW41" s="5">
        <f t="shared" si="90"/>
        <v>-45.456722000173649</v>
      </c>
      <c r="AX41" s="5">
        <f t="shared" si="90"/>
        <v>-45.59400142434977</v>
      </c>
      <c r="AY41" s="5">
        <f t="shared" si="90"/>
        <v>-45.732219453172995</v>
      </c>
      <c r="AZ41" s="5">
        <f t="shared" si="90"/>
        <v>-45.871314230264453</v>
      </c>
      <c r="BA41" s="5">
        <f t="shared" si="90"/>
        <v>-46.011225616552245</v>
      </c>
      <c r="BB41" s="5">
        <f t="shared" si="90"/>
        <v>-46.151895151051868</v>
      </c>
      <c r="BC41" s="5">
        <f t="shared" si="90"/>
        <v>-46.29326601247007</v>
      </c>
      <c r="BD41" s="5">
        <f t="shared" si="90"/>
        <v>-46.435282981616133</v>
      </c>
      <c r="BE41" s="5">
        <f t="shared" si="90"/>
        <v>-46.57789240460388</v>
      </c>
      <c r="BF41" s="5">
        <f t="shared" si="90"/>
        <v>-46.721042156828879</v>
      </c>
      <c r="BG41" s="5">
        <f t="shared" si="90"/>
        <v>-46.864681607704938</v>
      </c>
      <c r="BH41" s="5">
        <f t="shared" si="90"/>
        <v>-47.00876158614485</v>
      </c>
      <c r="BI41" s="5">
        <f t="shared" si="90"/>
        <v>-47.153234346770077</v>
      </c>
      <c r="BJ41" s="5">
        <f t="shared" si="90"/>
        <v>-47.29805353683512</v>
      </c>
      <c r="BK41" s="5">
        <f t="shared" si="90"/>
        <v>-47.44317416385168</v>
      </c>
      <c r="BL41" s="5">
        <f t="shared" si="90"/>
        <v>-47.588552563898865</v>
      </c>
      <c r="BM41" s="5">
        <f t="shared" si="90"/>
        <v>-47.734146370605337</v>
      </c>
      <c r="BN41" s="5">
        <f t="shared" si="90"/>
        <v>-47.879914484789929</v>
      </c>
      <c r="BO41" s="5">
        <f t="shared" si="90"/>
        <v>-48.025817044747427</v>
      </c>
      <c r="BP41" s="5">
        <f t="shared" si="90"/>
        <v>-48.171815397166498</v>
      </c>
      <c r="BQ41" s="5">
        <f t="shared" si="90"/>
        <v>-48.317872068666773</v>
      </c>
      <c r="BR41" s="5">
        <f t="shared" si="90"/>
        <v>-48.463950737942838</v>
      </c>
      <c r="BS41" s="5">
        <f t="shared" ref="BS41" si="101">PV($F14,BS$9,1,0)+(PV($J$6,$K$6-BS$9,1,0)/($J$6+1)^BS$9)</f>
        <v>-48.610016208502536</v>
      </c>
      <c r="BT41" s="5">
        <f t="shared" si="91"/>
        <v>-48.756034381987845</v>
      </c>
      <c r="BU41" s="5">
        <f t="shared" si="91"/>
        <v>-48.901972232066157</v>
      </c>
      <c r="BV41" s="5">
        <f t="shared" si="91"/>
        <v>-49.047797778880749</v>
      </c>
      <c r="BW41" s="5">
        <f t="shared" si="91"/>
        <v>-49.193480064048707</v>
      </c>
      <c r="BX41" s="5">
        <f t="shared" si="91"/>
        <v>-49.338989126195578</v>
      </c>
      <c r="BY41" s="5">
        <f t="shared" si="91"/>
        <v>-49.484295977015449</v>
      </c>
      <c r="BZ41" s="5">
        <f t="shared" si="91"/>
        <v>-49.629372577846041</v>
      </c>
      <c r="CA41" s="5">
        <f t="shared" si="91"/>
        <v>-49.774191816748207</v>
      </c>
      <c r="CB41" s="5">
        <f t="shared" si="91"/>
        <v>-49.918727486079526</v>
      </c>
      <c r="CC41" s="5">
        <f t="shared" si="91"/>
        <v>-50.062954260552068</v>
      </c>
      <c r="CD41" s="5">
        <f t="shared" si="91"/>
        <v>-50.206847675764259</v>
      </c>
      <c r="CE41" s="5">
        <f t="shared" si="91"/>
        <v>-50.350384107197264</v>
      </c>
      <c r="CF41" s="5">
        <f t="shared" si="91"/>
        <v>-50.49354074966655</v>
      </c>
      <c r="CG41" s="5">
        <f t="shared" si="91"/>
        <v>-50.636295597218897</v>
      </c>
      <c r="CH41" s="5">
        <f t="shared" si="91"/>
        <v>-50.77862742346629</v>
      </c>
      <c r="CI41" s="5">
        <f t="shared" si="91"/>
        <v>-50.920515762347286</v>
      </c>
      <c r="CJ41" s="5">
        <f t="shared" si="91"/>
        <v>-51.061940889307373</v>
      </c>
      <c r="CK41" s="5">
        <f t="shared" si="91"/>
        <v>-51.202883802889687</v>
      </c>
      <c r="CL41" s="5">
        <f t="shared" si="91"/>
        <v>-51.343326206727511</v>
      </c>
      <c r="CM41" s="5">
        <f t="shared" si="91"/>
        <v>-51.343326206727511</v>
      </c>
      <c r="CN41" s="5">
        <f t="shared" si="91"/>
        <v>-51.343326206727511</v>
      </c>
      <c r="CO41" s="5">
        <f t="shared" si="91"/>
        <v>-51.343326206727511</v>
      </c>
      <c r="CP41" s="5">
        <f t="shared" si="91"/>
        <v>-51.343326206727511</v>
      </c>
      <c r="CQ41" s="5">
        <f t="shared" si="91"/>
        <v>-51.343326206727511</v>
      </c>
      <c r="CR41" s="5">
        <f t="shared" si="91"/>
        <v>-51.343326206727511</v>
      </c>
      <c r="CS41" s="5">
        <f t="shared" si="91"/>
        <v>-51.343326206727511</v>
      </c>
      <c r="CT41" s="5">
        <f t="shared" si="91"/>
        <v>-51.343326206727511</v>
      </c>
      <c r="CU41" s="5">
        <f t="shared" si="91"/>
        <v>-51.343326206727511</v>
      </c>
      <c r="CV41" s="5">
        <f t="shared" si="91"/>
        <v>-51.343326206727511</v>
      </c>
      <c r="CW41" s="5">
        <f t="shared" si="91"/>
        <v>-51.343326206727511</v>
      </c>
      <c r="CX41" s="5">
        <f t="shared" si="91"/>
        <v>-51.343326206727511</v>
      </c>
      <c r="CY41" s="5">
        <f t="shared" si="92"/>
        <v>-51.343326206727511</v>
      </c>
      <c r="CZ41" s="5">
        <f t="shared" si="92"/>
        <v>-51.343326206727511</v>
      </c>
      <c r="DA41" s="5">
        <f t="shared" si="97"/>
        <v>-51.343326206727511</v>
      </c>
      <c r="DB41" s="5">
        <f t="shared" si="97"/>
        <v>-51.343326206727511</v>
      </c>
      <c r="DC41" s="5">
        <f t="shared" si="97"/>
        <v>-51.343326206727511</v>
      </c>
      <c r="DD41" s="5">
        <f t="shared" si="97"/>
        <v>-51.343326206727511</v>
      </c>
      <c r="DE41" s="5">
        <f t="shared" si="97"/>
        <v>-51.343326206727511</v>
      </c>
      <c r="DF41" s="5">
        <f t="shared" si="97"/>
        <v>-51.343326206727511</v>
      </c>
      <c r="DG41" s="5">
        <f t="shared" si="97"/>
        <v>-51.343326206727511</v>
      </c>
      <c r="DH41" s="5">
        <f t="shared" si="97"/>
        <v>-51.343326206727511</v>
      </c>
      <c r="DI41" s="5">
        <f t="shared" si="97"/>
        <v>-51.343326206727511</v>
      </c>
      <c r="DJ41" s="5">
        <f t="shared" si="97"/>
        <v>-51.343326206727511</v>
      </c>
      <c r="DK41" s="5">
        <f t="shared" si="97"/>
        <v>-51.343326206727511</v>
      </c>
      <c r="DL41" s="5">
        <f t="shared" si="97"/>
        <v>-51.343326206727511</v>
      </c>
      <c r="DM41" s="5">
        <f t="shared" si="97"/>
        <v>-51.343326206727511</v>
      </c>
      <c r="DN41" s="5">
        <f t="shared" si="97"/>
        <v>-51.343326206727511</v>
      </c>
      <c r="DO41" s="5">
        <f t="shared" si="97"/>
        <v>-51.343326206727511</v>
      </c>
      <c r="DP41" s="5">
        <f t="shared" si="97"/>
        <v>-51.343326206727511</v>
      </c>
      <c r="DQ41" s="5">
        <f t="shared" si="97"/>
        <v>-51.343326206727511</v>
      </c>
      <c r="DR41" s="5">
        <f t="shared" si="97"/>
        <v>-51.343326206727511</v>
      </c>
      <c r="DS41" s="5">
        <f t="shared" si="97"/>
        <v>-51.343326206727511</v>
      </c>
      <c r="DT41" s="5">
        <f t="shared" si="97"/>
        <v>-51.343326206727511</v>
      </c>
      <c r="DU41" s="5">
        <f t="shared" si="97"/>
        <v>-51.343326206727511</v>
      </c>
      <c r="DV41" s="5">
        <f t="shared" si="97"/>
        <v>-51.343326206727511</v>
      </c>
      <c r="DW41" s="5">
        <f t="shared" ref="DW41:ET41" si="102">PV($F14,DW$9,1,0)+(PV($J$6,$K$6-DW$9,1,0)/($J$6+1)^DW$9)</f>
        <v>-51.343326206727511</v>
      </c>
      <c r="DX41" s="5">
        <f t="shared" si="102"/>
        <v>-51.343326206727511</v>
      </c>
      <c r="DY41" s="5">
        <f t="shared" si="102"/>
        <v>-51.343326206727511</v>
      </c>
      <c r="DZ41" s="5">
        <f t="shared" si="102"/>
        <v>-51.343326206727511</v>
      </c>
      <c r="EA41" s="5">
        <f t="shared" si="102"/>
        <v>-51.343326206727511</v>
      </c>
      <c r="EB41" s="5">
        <f t="shared" si="102"/>
        <v>-51.343326206727511</v>
      </c>
      <c r="EC41" s="5">
        <f t="shared" si="102"/>
        <v>-51.343326206727511</v>
      </c>
      <c r="ED41" s="5">
        <f t="shared" si="102"/>
        <v>-51.343326206727511</v>
      </c>
      <c r="EE41" s="5">
        <f t="shared" si="102"/>
        <v>-51.343326206727511</v>
      </c>
      <c r="EF41" s="5">
        <f t="shared" si="102"/>
        <v>-51.343326206727511</v>
      </c>
      <c r="EG41" s="5">
        <f t="shared" si="102"/>
        <v>-51.343326206727511</v>
      </c>
      <c r="EH41" s="5">
        <f t="shared" si="102"/>
        <v>-51.343326206727511</v>
      </c>
      <c r="EI41" s="5">
        <f t="shared" si="102"/>
        <v>-51.343326206727511</v>
      </c>
      <c r="EJ41" s="5">
        <f t="shared" si="102"/>
        <v>-51.343326206727511</v>
      </c>
      <c r="EK41" s="5">
        <f t="shared" si="102"/>
        <v>-51.343326206727511</v>
      </c>
      <c r="EL41" s="5">
        <f t="shared" si="102"/>
        <v>-51.343326206727511</v>
      </c>
      <c r="EM41" s="5">
        <f t="shared" si="102"/>
        <v>-51.343326206727511</v>
      </c>
      <c r="EN41" s="5">
        <f t="shared" si="102"/>
        <v>-51.343326206727511</v>
      </c>
      <c r="EO41" s="5">
        <f t="shared" si="102"/>
        <v>-51.343326206727511</v>
      </c>
      <c r="EP41" s="5">
        <f t="shared" si="102"/>
        <v>-51.343326206727511</v>
      </c>
      <c r="EQ41" s="5">
        <f t="shared" si="102"/>
        <v>-51.343326206727511</v>
      </c>
      <c r="ER41" s="5">
        <f t="shared" si="102"/>
        <v>-51.343326206727511</v>
      </c>
      <c r="ES41" s="5">
        <f t="shared" si="102"/>
        <v>-51.343326206727511</v>
      </c>
      <c r="ET41" s="5">
        <f t="shared" si="102"/>
        <v>-51.343326206727511</v>
      </c>
      <c r="FF41" s="130" t="s">
        <v>190</v>
      </c>
      <c r="FG41" s="12">
        <v>2.5000000000000001E-2</v>
      </c>
      <c r="FH41" s="12">
        <v>96</v>
      </c>
      <c r="FI41" s="12">
        <v>2.1499999999999998E-2</v>
      </c>
      <c r="FJ41" s="82">
        <v>1.9E-2</v>
      </c>
      <c r="FK41" s="134">
        <f t="shared" si="62"/>
        <v>3.3333333333333343E-4</v>
      </c>
      <c r="FL41">
        <f>VLOOKUP(FF41,'SIMULADOR COM SALDO'!$BF$22:$BS$268,13,FALSE)</f>
        <v>2.5000000000000001E-2</v>
      </c>
    </row>
    <row r="42" spans="5:168" hidden="1" x14ac:dyDescent="0.25">
      <c r="G42" s="5">
        <f t="shared" si="89"/>
        <v>-41.677218803970462</v>
      </c>
      <c r="H42" s="5">
        <f t="shared" ref="H42:BS45" si="103">PV($F15,H$9,1,0)+(PV($J$6,$K$6-H$9,1,0)/($J$6+1)^H$9)</f>
        <v>-41.688486629804274</v>
      </c>
      <c r="I42" s="5">
        <f t="shared" si="103"/>
        <v>-41.705120022325417</v>
      </c>
      <c r="J42" s="5">
        <f t="shared" si="103"/>
        <v>-41.726945826249285</v>
      </c>
      <c r="K42" s="5">
        <f t="shared" si="103"/>
        <v>-41.753795076539348</v>
      </c>
      <c r="L42" s="5">
        <f t="shared" si="103"/>
        <v>-41.78550290757255</v>
      </c>
      <c r="M42" s="5">
        <f t="shared" si="103"/>
        <v>-41.821908464167372</v>
      </c>
      <c r="N42" s="5">
        <f t="shared" si="103"/>
        <v>-41.862854814437242</v>
      </c>
      <c r="O42" s="5">
        <f t="shared" si="103"/>
        <v>-41.908188864433463</v>
      </c>
      <c r="P42" s="5">
        <f t="shared" si="103"/>
        <v>-41.957761274541603</v>
      </c>
      <c r="Q42" s="5">
        <f t="shared" si="103"/>
        <v>-42.011426377597004</v>
      </c>
      <c r="R42" s="5">
        <f t="shared" si="103"/>
        <v>-42.069042098684697</v>
      </c>
      <c r="S42" s="5">
        <f t="shared" si="103"/>
        <v>-42.130469876590638</v>
      </c>
      <c r="T42" s="5">
        <f t="shared" si="103"/>
        <v>-42.195574586870997</v>
      </c>
      <c r="U42" s="5">
        <f t="shared" si="103"/>
        <v>-42.264224466507777</v>
      </c>
      <c r="V42" s="5">
        <f t="shared" si="103"/>
        <v>-42.336291040118404</v>
      </c>
      <c r="W42" s="5">
        <f t="shared" si="103"/>
        <v>-42.411649047689288</v>
      </c>
      <c r="X42" s="5">
        <f t="shared" si="103"/>
        <v>-42.490176373801937</v>
      </c>
      <c r="Y42" s="5">
        <f t="shared" si="103"/>
        <v>-42.571753978322675</v>
      </c>
      <c r="Z42" s="5">
        <f t="shared" si="103"/>
        <v>-42.656265828526323</v>
      </c>
      <c r="AA42" s="5">
        <f t="shared" si="103"/>
        <v>-42.743598832625203</v>
      </c>
      <c r="AB42" s="5">
        <f t="shared" si="103"/>
        <v>-42.833642774675667</v>
      </c>
      <c r="AC42" s="5">
        <f t="shared" si="103"/>
        <v>-42.926290250834349</v>
      </c>
      <c r="AD42" s="5">
        <f t="shared" si="103"/>
        <v>-43.021436606937243</v>
      </c>
      <c r="AE42" s="5">
        <f t="shared" si="103"/>
        <v>-43.118979877375239</v>
      </c>
      <c r="AF42" s="5">
        <f t="shared" si="103"/>
        <v>-43.218820725239951</v>
      </c>
      <c r="AG42" s="5">
        <f t="shared" si="103"/>
        <v>-43.320862383714719</v>
      </c>
      <c r="AH42" s="5">
        <f t="shared" si="103"/>
        <v>-43.425010598685482</v>
      </c>
      <c r="AI42" s="5">
        <f t="shared" si="103"/>
        <v>-43.531173572547473</v>
      </c>
      <c r="AJ42" s="5">
        <f t="shared" si="103"/>
        <v>-43.63926190918329</v>
      </c>
      <c r="AK42" s="5">
        <f t="shared" si="103"/>
        <v>-43.749188560089408</v>
      </c>
      <c r="AL42" s="5">
        <f t="shared" si="103"/>
        <v>-43.86086877162748</v>
      </c>
      <c r="AM42" s="5">
        <f t="shared" si="103"/>
        <v>-43.974220033378423</v>
      </c>
      <c r="AN42" s="5">
        <f t="shared" si="103"/>
        <v>-44.089162027576648</v>
      </c>
      <c r="AO42" s="5">
        <f t="shared" si="103"/>
        <v>-44.205616579603088</v>
      </c>
      <c r="AP42" s="5">
        <f t="shared" si="103"/>
        <v>-44.323507609515545</v>
      </c>
      <c r="AQ42" s="5">
        <f t="shared" si="103"/>
        <v>-44.442761084595475</v>
      </c>
      <c r="AR42" s="5">
        <f t="shared" si="103"/>
        <v>-44.563304972890897</v>
      </c>
      <c r="AS42" s="5">
        <f t="shared" si="103"/>
        <v>-44.685069197735316</v>
      </c>
      <c r="AT42" s="5">
        <f t="shared" si="103"/>
        <v>-44.807985593222796</v>
      </c>
      <c r="AU42" s="5">
        <f t="shared" si="103"/>
        <v>-44.931987860620282</v>
      </c>
      <c r="AV42" s="5">
        <f t="shared" si="103"/>
        <v>-45.057011525697895</v>
      </c>
      <c r="AW42" s="5">
        <f t="shared" si="103"/>
        <v>-45.182993896959069</v>
      </c>
      <c r="AX42" s="5">
        <f t="shared" si="103"/>
        <v>-45.309874024751821</v>
      </c>
      <c r="AY42" s="5">
        <f t="shared" si="103"/>
        <v>-45.437592661244061</v>
      </c>
      <c r="AZ42" s="5">
        <f t="shared" si="103"/>
        <v>-45.566092221244745</v>
      </c>
      <c r="BA42" s="5">
        <f t="shared" si="103"/>
        <v>-45.695316743854455</v>
      </c>
      <c r="BB42" s="5">
        <f t="shared" si="103"/>
        <v>-45.825211854927993</v>
      </c>
      <c r="BC42" s="5">
        <f t="shared" si="103"/>
        <v>-45.955724730333102</v>
      </c>
      <c r="BD42" s="5">
        <f t="shared" si="103"/>
        <v>-46.086804059988765</v>
      </c>
      <c r="BE42" s="5">
        <f t="shared" si="103"/>
        <v>-46.21840001266758</v>
      </c>
      <c r="BF42" s="5">
        <f t="shared" si="103"/>
        <v>-46.350464201546593</v>
      </c>
      <c r="BG42" s="5">
        <f t="shared" si="103"/>
        <v>-46.482949650491285</v>
      </c>
      <c r="BH42" s="5">
        <f t="shared" si="103"/>
        <v>-46.615810761058164</v>
      </c>
      <c r="BI42" s="5">
        <f t="shared" si="103"/>
        <v>-46.749003280201052</v>
      </c>
      <c r="BJ42" s="5">
        <f t="shared" si="103"/>
        <v>-46.882484268666822</v>
      </c>
      <c r="BK42" s="5">
        <f t="shared" si="103"/>
        <v>-47.016212070066828</v>
      </c>
      <c r="BL42" s="5">
        <f t="shared" si="103"/>
        <v>-47.150146280609789</v>
      </c>
      <c r="BM42" s="5">
        <f t="shared" si="103"/>
        <v>-47.284247719483318</v>
      </c>
      <c r="BN42" s="5">
        <f t="shared" si="103"/>
        <v>-47.418478399870096</v>
      </c>
      <c r="BO42" s="5">
        <f t="shared" si="103"/>
        <v>-47.552801500586583</v>
      </c>
      <c r="BP42" s="5">
        <f t="shared" si="103"/>
        <v>-47.687181338330873</v>
      </c>
      <c r="BQ42" s="5">
        <f t="shared" si="103"/>
        <v>-47.821583340527745</v>
      </c>
      <c r="BR42" s="5">
        <f t="shared" si="103"/>
        <v>-47.955974018758354</v>
      </c>
      <c r="BS42" s="5">
        <f t="shared" si="103"/>
        <v>-48.090320942762979</v>
      </c>
      <c r="BT42" s="5">
        <f t="shared" si="91"/>
        <v>-48.224592715004775</v>
      </c>
      <c r="BU42" s="5">
        <f t="shared" si="91"/>
        <v>-48.358758945783265</v>
      </c>
      <c r="BV42" s="5">
        <f t="shared" si="91"/>
        <v>-48.492790228886278</v>
      </c>
      <c r="BW42" s="5">
        <f t="shared" si="91"/>
        <v>-48.626658117769232</v>
      </c>
      <c r="BX42" s="5">
        <f t="shared" si="91"/>
        <v>-48.760335102250998</v>
      </c>
      <c r="BY42" s="5">
        <f t="shared" si="91"/>
        <v>-48.893794585715874</v>
      </c>
      <c r="BZ42" s="5">
        <f t="shared" si="91"/>
        <v>-49.027010862810961</v>
      </c>
      <c r="CA42" s="5">
        <f t="shared" si="91"/>
        <v>-49.159959097629176</v>
      </c>
      <c r="CB42" s="5">
        <f t="shared" si="91"/>
        <v>-49.292615302367558</v>
      </c>
      <c r="CC42" s="5">
        <f t="shared" si="91"/>
        <v>-49.424956316451386</v>
      </c>
      <c r="CD42" s="5">
        <f t="shared" si="91"/>
        <v>-49.556959786114248</v>
      </c>
      <c r="CE42" s="5">
        <f t="shared" si="91"/>
        <v>-49.688604144424936</v>
      </c>
      <c r="CF42" s="5">
        <f t="shared" si="91"/>
        <v>-49.819868591751771</v>
      </c>
      <c r="CG42" s="5">
        <f t="shared" si="91"/>
        <v>-49.950733076655418</v>
      </c>
      <c r="CH42" s="5">
        <f t="shared" si="91"/>
        <v>-50.081178277201303</v>
      </c>
      <c r="CI42" s="5">
        <f t="shared" si="91"/>
        <v>-50.211185582683107</v>
      </c>
      <c r="CJ42" s="5">
        <f t="shared" si="91"/>
        <v>-50.340737075748542</v>
      </c>
      <c r="CK42" s="5">
        <f t="shared" si="91"/>
        <v>-50.469815514919503</v>
      </c>
      <c r="CL42" s="5">
        <f t="shared" si="91"/>
        <v>-50.598404317497994</v>
      </c>
      <c r="CM42" s="5">
        <f t="shared" si="91"/>
        <v>-50.598404317497994</v>
      </c>
      <c r="CN42" s="5">
        <f t="shared" si="91"/>
        <v>-50.598404317497994</v>
      </c>
      <c r="CO42" s="5">
        <f t="shared" si="91"/>
        <v>-50.598404317497994</v>
      </c>
      <c r="CP42" s="5">
        <f t="shared" si="91"/>
        <v>-50.598404317497994</v>
      </c>
      <c r="CQ42" s="5">
        <f t="shared" si="91"/>
        <v>-50.598404317497994</v>
      </c>
      <c r="CR42" s="5">
        <f t="shared" si="91"/>
        <v>-50.598404317497994</v>
      </c>
      <c r="CS42" s="5">
        <f t="shared" si="91"/>
        <v>-50.598404317497994</v>
      </c>
      <c r="CT42" s="5">
        <f t="shared" si="91"/>
        <v>-50.598404317497994</v>
      </c>
      <c r="CU42" s="5">
        <f t="shared" si="91"/>
        <v>-50.598404317497994</v>
      </c>
      <c r="CV42" s="5">
        <f t="shared" si="91"/>
        <v>-50.598404317497994</v>
      </c>
      <c r="CW42" s="5">
        <f t="shared" si="91"/>
        <v>-50.598404317497994</v>
      </c>
      <c r="CX42" s="5">
        <f t="shared" si="91"/>
        <v>-50.598404317497994</v>
      </c>
      <c r="CY42" s="5">
        <f t="shared" si="92"/>
        <v>-50.598404317497994</v>
      </c>
      <c r="CZ42" s="5">
        <f t="shared" si="92"/>
        <v>-50.598404317497994</v>
      </c>
      <c r="DA42" s="5">
        <f t="shared" si="97"/>
        <v>-50.598404317497994</v>
      </c>
      <c r="DB42" s="5">
        <f t="shared" si="97"/>
        <v>-50.598404317497994</v>
      </c>
      <c r="DC42" s="5">
        <f t="shared" si="97"/>
        <v>-50.598404317497994</v>
      </c>
      <c r="DD42" s="5">
        <f t="shared" si="97"/>
        <v>-50.598404317497994</v>
      </c>
      <c r="DE42" s="5">
        <f t="shared" si="97"/>
        <v>-50.598404317497994</v>
      </c>
      <c r="DF42" s="5">
        <f t="shared" si="97"/>
        <v>-50.598404317497994</v>
      </c>
      <c r="DG42" s="5">
        <f t="shared" si="97"/>
        <v>-50.598404317497994</v>
      </c>
      <c r="DH42" s="5">
        <f t="shared" si="97"/>
        <v>-50.598404317497994</v>
      </c>
      <c r="DI42" s="5">
        <f t="shared" si="97"/>
        <v>-50.598404317497994</v>
      </c>
      <c r="DJ42" s="5">
        <f t="shared" si="97"/>
        <v>-50.598404317497994</v>
      </c>
      <c r="DK42" s="5">
        <f t="shared" si="97"/>
        <v>-50.598404317497994</v>
      </c>
      <c r="DL42" s="5">
        <f t="shared" si="97"/>
        <v>-50.598404317497994</v>
      </c>
      <c r="DM42" s="5">
        <f t="shared" si="97"/>
        <v>-50.598404317497994</v>
      </c>
      <c r="DN42" s="5">
        <f t="shared" si="97"/>
        <v>-50.598404317497994</v>
      </c>
      <c r="DO42" s="5">
        <f t="shared" si="97"/>
        <v>-50.598404317497994</v>
      </c>
      <c r="DP42" s="5">
        <f t="shared" si="97"/>
        <v>-50.598404317497994</v>
      </c>
      <c r="DQ42" s="5">
        <f t="shared" si="97"/>
        <v>-50.598404317497994</v>
      </c>
      <c r="DR42" s="5">
        <f t="shared" si="97"/>
        <v>-50.598404317497994</v>
      </c>
      <c r="DS42" s="5">
        <f t="shared" si="97"/>
        <v>-50.598404317497994</v>
      </c>
      <c r="DT42" s="5">
        <f t="shared" si="97"/>
        <v>-50.598404317497994</v>
      </c>
      <c r="DU42" s="5">
        <f t="shared" si="97"/>
        <v>-50.598404317497994</v>
      </c>
      <c r="DV42" s="5">
        <f t="shared" si="97"/>
        <v>-50.598404317497994</v>
      </c>
      <c r="DW42" s="5">
        <f t="shared" ref="DW42:ET42" si="104">PV($F15,DW$9,1,0)+(PV($J$6,$K$6-DW$9,1,0)/($J$6+1)^DW$9)</f>
        <v>-50.598404317497994</v>
      </c>
      <c r="DX42" s="5">
        <f t="shared" si="104"/>
        <v>-50.598404317497994</v>
      </c>
      <c r="DY42" s="5">
        <f t="shared" si="104"/>
        <v>-50.598404317497994</v>
      </c>
      <c r="DZ42" s="5">
        <f t="shared" si="104"/>
        <v>-50.598404317497994</v>
      </c>
      <c r="EA42" s="5">
        <f t="shared" si="104"/>
        <v>-50.598404317497994</v>
      </c>
      <c r="EB42" s="5">
        <f t="shared" si="104"/>
        <v>-50.598404317497994</v>
      </c>
      <c r="EC42" s="5">
        <f t="shared" si="104"/>
        <v>-50.598404317497994</v>
      </c>
      <c r="ED42" s="5">
        <f t="shared" si="104"/>
        <v>-50.598404317497994</v>
      </c>
      <c r="EE42" s="5">
        <f t="shared" si="104"/>
        <v>-50.598404317497994</v>
      </c>
      <c r="EF42" s="5">
        <f t="shared" si="104"/>
        <v>-50.598404317497994</v>
      </c>
      <c r="EG42" s="5">
        <f t="shared" si="104"/>
        <v>-50.598404317497994</v>
      </c>
      <c r="EH42" s="5">
        <f t="shared" si="104"/>
        <v>-50.598404317497994</v>
      </c>
      <c r="EI42" s="5">
        <f t="shared" si="104"/>
        <v>-50.598404317497994</v>
      </c>
      <c r="EJ42" s="5">
        <f t="shared" si="104"/>
        <v>-50.598404317497994</v>
      </c>
      <c r="EK42" s="5">
        <f t="shared" si="104"/>
        <v>-50.598404317497994</v>
      </c>
      <c r="EL42" s="5">
        <f t="shared" si="104"/>
        <v>-50.598404317497994</v>
      </c>
      <c r="EM42" s="5">
        <f t="shared" si="104"/>
        <v>-50.598404317497994</v>
      </c>
      <c r="EN42" s="5">
        <f t="shared" si="104"/>
        <v>-50.598404317497994</v>
      </c>
      <c r="EO42" s="5">
        <f t="shared" si="104"/>
        <v>-50.598404317497994</v>
      </c>
      <c r="EP42" s="5">
        <f t="shared" si="104"/>
        <v>-50.598404317497994</v>
      </c>
      <c r="EQ42" s="5">
        <f t="shared" si="104"/>
        <v>-50.598404317497994</v>
      </c>
      <c r="ER42" s="5">
        <f t="shared" si="104"/>
        <v>-50.598404317497994</v>
      </c>
      <c r="ES42" s="5">
        <f t="shared" si="104"/>
        <v>-50.598404317497994</v>
      </c>
      <c r="ET42" s="5">
        <f t="shared" si="104"/>
        <v>-50.598404317497994</v>
      </c>
      <c r="FF42" s="12" t="s">
        <v>494</v>
      </c>
      <c r="FG42" s="12">
        <v>2.1000000000000001E-2</v>
      </c>
      <c r="FH42" s="12">
        <v>120</v>
      </c>
      <c r="FI42" s="12">
        <v>2.1000000000000001E-2</v>
      </c>
      <c r="FJ42" s="82">
        <v>1.8000000000000002E-2</v>
      </c>
      <c r="FK42" s="134">
        <f t="shared" si="62"/>
        <v>1.6666666666666663E-4</v>
      </c>
      <c r="FL42">
        <f>VLOOKUP(FF42,'SIMULADOR COM SALDO'!$BF$22:$BS$268,13,FALSE)</f>
        <v>2.1000000000000001E-2</v>
      </c>
    </row>
    <row r="43" spans="5:168" hidden="1" x14ac:dyDescent="0.25">
      <c r="G43" s="5">
        <f t="shared" si="89"/>
        <v>-41.676807673839939</v>
      </c>
      <c r="H43" s="5">
        <f t="shared" si="103"/>
        <v>-41.687264111972219</v>
      </c>
      <c r="I43" s="5">
        <f t="shared" si="103"/>
        <v>-41.702696516114919</v>
      </c>
      <c r="J43" s="5">
        <f t="shared" si="103"/>
        <v>-41.722942176014961</v>
      </c>
      <c r="K43" s="5">
        <f t="shared" si="103"/>
        <v>-41.747842363544777</v>
      </c>
      <c r="L43" s="5">
        <f t="shared" si="103"/>
        <v>-41.777242245545914</v>
      </c>
      <c r="M43" s="5">
        <f t="shared" si="103"/>
        <v>-41.81099079847418</v>
      </c>
      <c r="N43" s="5">
        <f t="shared" si="103"/>
        <v>-41.848940724810497</v>
      </c>
      <c r="O43" s="5">
        <f t="shared" si="103"/>
        <v>-41.890948371202121</v>
      </c>
      <c r="P43" s="5">
        <f t="shared" si="103"/>
        <v>-41.936873648299425</v>
      </c>
      <c r="Q43" s="5">
        <f t="shared" si="103"/>
        <v>-41.986579952254402</v>
      </c>
      <c r="R43" s="5">
        <f t="shared" si="103"/>
        <v>-42.039934087847861</v>
      </c>
      <c r="S43" s="5">
        <f t="shared" si="103"/>
        <v>-42.096806193212089</v>
      </c>
      <c r="T43" s="5">
        <f t="shared" si="103"/>
        <v>-42.157069666117692</v>
      </c>
      <c r="U43" s="5">
        <f t="shared" si="103"/>
        <v>-42.220601091792616</v>
      </c>
      <c r="V43" s="5">
        <f t="shared" si="103"/>
        <v>-42.287280172242994</v>
      </c>
      <c r="W43" s="5">
        <f t="shared" si="103"/>
        <v>-42.356989657045709</v>
      </c>
      <c r="X43" s="5">
        <f t="shared" si="103"/>
        <v>-42.429615275582712</v>
      </c>
      <c r="Y43" s="5">
        <f t="shared" si="103"/>
        <v>-42.505045670688581</v>
      </c>
      <c r="Z43" s="5">
        <f t="shared" si="103"/>
        <v>-42.58317233368264</v>
      </c>
      <c r="AA43" s="5">
        <f t="shared" si="103"/>
        <v>-42.663889540757935</v>
      </c>
      <c r="AB43" s="5">
        <f t="shared" si="103"/>
        <v>-42.747094290699586</v>
      </c>
      <c r="AC43" s="5">
        <f t="shared" si="103"/>
        <v>-42.832686243906124</v>
      </c>
      <c r="AD43" s="5">
        <f t="shared" si="103"/>
        <v>-42.920567662686992</v>
      </c>
      <c r="AE43" s="5">
        <f t="shared" si="103"/>
        <v>-43.010643352811151</v>
      </c>
      <c r="AF43" s="5">
        <f t="shared" si="103"/>
        <v>-43.102820606281085</v>
      </c>
      <c r="AG43" s="5">
        <f t="shared" si="103"/>
        <v>-43.197009145307646</v>
      </c>
      <c r="AH43" s="5">
        <f t="shared" si="103"/>
        <v>-43.293121067461684</v>
      </c>
      <c r="AI43" s="5">
        <f t="shared" si="103"/>
        <v>-43.391070791978343</v>
      </c>
      <c r="AJ43" s="5">
        <f t="shared" si="103"/>
        <v>-43.490775007191139</v>
      </c>
      <c r="AK43" s="5">
        <f t="shared" si="103"/>
        <v>-43.592152619072685</v>
      </c>
      <c r="AL43" s="5">
        <f t="shared" si="103"/>
        <v>-43.695124700859765</v>
      </c>
      <c r="AM43" s="5">
        <f t="shared" si="103"/>
        <v>-43.799614443741056</v>
      </c>
      <c r="AN43" s="5">
        <f t="shared" si="103"/>
        <v>-43.905547108585623</v>
      </c>
      <c r="AO43" s="5">
        <f t="shared" si="103"/>
        <v>-44.012849978691321</v>
      </c>
      <c r="AP43" s="5">
        <f t="shared" si="103"/>
        <v>-44.121452313532465</v>
      </c>
      <c r="AQ43" s="5">
        <f t="shared" si="103"/>
        <v>-44.231285303486473</v>
      </c>
      <c r="AR43" s="5">
        <f t="shared" si="103"/>
        <v>-44.342282025519488</v>
      </c>
      <c r="AS43" s="5">
        <f t="shared" si="103"/>
        <v>-44.454377399811861</v>
      </c>
      <c r="AT43" s="5">
        <f t="shared" si="103"/>
        <v>-44.567508147303954</v>
      </c>
      <c r="AU43" s="5">
        <f t="shared" si="103"/>
        <v>-44.681612748144069</v>
      </c>
      <c r="AV43" s="5">
        <f t="shared" si="103"/>
        <v>-44.796631401019717</v>
      </c>
      <c r="AW43" s="5">
        <f t="shared" si="103"/>
        <v>-44.912505983354585</v>
      </c>
      <c r="AX43" s="5">
        <f t="shared" si="103"/>
        <v>-45.029180012353436</v>
      </c>
      <c r="AY43" s="5">
        <f t="shared" si="103"/>
        <v>-45.146598606877667</v>
      </c>
      <c r="AZ43" s="5">
        <f t="shared" si="103"/>
        <v>-45.264708450134776</v>
      </c>
      <c r="BA43" s="5">
        <f t="shared" si="103"/>
        <v>-45.38345775316489</v>
      </c>
      <c r="BB43" s="5">
        <f t="shared" si="103"/>
        <v>-45.502796219108262</v>
      </c>
      <c r="BC43" s="5">
        <f t="shared" si="103"/>
        <v>-45.622675008237948</v>
      </c>
      <c r="BD43" s="5">
        <f t="shared" si="103"/>
        <v>-45.743046703741584</v>
      </c>
      <c r="BE43" s="5">
        <f t="shared" si="103"/>
        <v>-45.863865278237505</v>
      </c>
      <c r="BF43" s="5">
        <f t="shared" si="103"/>
        <v>-45.985086061009802</v>
      </c>
      <c r="BG43" s="5">
        <f t="shared" si="103"/>
        <v>-46.106665705947854</v>
      </c>
      <c r="BH43" s="5">
        <f t="shared" si="103"/>
        <v>-46.228562160175692</v>
      </c>
      <c r="BI43" s="5">
        <f t="shared" si="103"/>
        <v>-46.350734633357291</v>
      </c>
      <c r="BJ43" s="5">
        <f t="shared" si="103"/>
        <v>-46.47314356766384</v>
      </c>
      <c r="BK43" s="5">
        <f t="shared" si="103"/>
        <v>-46.595750608389437</v>
      </c>
      <c r="BL43" s="5">
        <f t="shared" si="103"/>
        <v>-46.718518575201813</v>
      </c>
      <c r="BM43" s="5">
        <f t="shared" si="103"/>
        <v>-46.841411434015249</v>
      </c>
      <c r="BN43" s="5">
        <f t="shared" si="103"/>
        <v>-46.964394269472713</v>
      </c>
      <c r="BO43" s="5">
        <f t="shared" si="103"/>
        <v>-47.087433258024802</v>
      </c>
      <c r="BP43" s="5">
        <f t="shared" si="103"/>
        <v>-47.210495641593241</v>
      </c>
      <c r="BQ43" s="5">
        <f t="shared" si="103"/>
        <v>-47.33354970180671</v>
      </c>
      <c r="BR43" s="5">
        <f t="shared" si="103"/>
        <v>-47.456564734797531</v>
      </c>
      <c r="BS43" s="5">
        <f t="shared" si="103"/>
        <v>-47.579511026547387</v>
      </c>
      <c r="BT43" s="5">
        <f t="shared" si="91"/>
        <v>-47.702359828770923</v>
      </c>
      <c r="BU43" s="5">
        <f t="shared" si="91"/>
        <v>-47.825083335325928</v>
      </c>
      <c r="BV43" s="5">
        <f t="shared" si="91"/>
        <v>-47.947654659139552</v>
      </c>
      <c r="BW43" s="5">
        <f t="shared" si="91"/>
        <v>-48.070047809639519</v>
      </c>
      <c r="BX43" s="5">
        <f t="shared" si="91"/>
        <v>-48.192237670680214</v>
      </c>
      <c r="BY43" s="5">
        <f t="shared" si="91"/>
        <v>-48.314199978953205</v>
      </c>
      <c r="BZ43" s="5">
        <f t="shared" si="91"/>
        <v>-48.435911302872228</v>
      </c>
      <c r="CA43" s="5">
        <f t="shared" si="91"/>
        <v>-48.557349021922846</v>
      </c>
      <c r="CB43" s="5">
        <f t="shared" si="91"/>
        <v>-48.678491306467109</v>
      </c>
      <c r="CC43" s="5">
        <f t="shared" si="91"/>
        <v>-48.79931709799375</v>
      </c>
      <c r="CD43" s="5">
        <f t="shared" si="91"/>
        <v>-48.919806089804759</v>
      </c>
      <c r="CE43" s="5">
        <f t="shared" si="91"/>
        <v>-49.039938708129071</v>
      </c>
      <c r="CF43" s="5">
        <f t="shared" si="91"/>
        <v>-49.159696093654837</v>
      </c>
      <c r="CG43" s="5">
        <f t="shared" si="91"/>
        <v>-49.279060083471151</v>
      </c>
      <c r="CH43" s="5">
        <f t="shared" si="91"/>
        <v>-49.398013193410925</v>
      </c>
      <c r="CI43" s="5">
        <f t="shared" si="91"/>
        <v>-49.516538600786745</v>
      </c>
      <c r="CJ43" s="5">
        <f t="shared" si="91"/>
        <v>-49.634620127511006</v>
      </c>
      <c r="CK43" s="5">
        <f t="shared" si="91"/>
        <v>-49.752242223592795</v>
      </c>
      <c r="CL43" s="5">
        <f t="shared" si="91"/>
        <v>-49.869389951003399</v>
      </c>
      <c r="CM43" s="5">
        <f t="shared" si="91"/>
        <v>-49.869389951003399</v>
      </c>
      <c r="CN43" s="5">
        <f t="shared" si="91"/>
        <v>-49.869389951003399</v>
      </c>
      <c r="CO43" s="5">
        <f t="shared" si="91"/>
        <v>-49.869389951003399</v>
      </c>
      <c r="CP43" s="5">
        <f t="shared" si="91"/>
        <v>-49.869389951003399</v>
      </c>
      <c r="CQ43" s="5">
        <f t="shared" si="91"/>
        <v>-49.869389951003399</v>
      </c>
      <c r="CR43" s="5">
        <f t="shared" si="91"/>
        <v>-49.869389951003399</v>
      </c>
      <c r="CS43" s="5">
        <f t="shared" si="91"/>
        <v>-49.869389951003399</v>
      </c>
      <c r="CT43" s="5">
        <f t="shared" si="91"/>
        <v>-49.869389951003399</v>
      </c>
      <c r="CU43" s="5">
        <f t="shared" si="91"/>
        <v>-49.869389951003399</v>
      </c>
      <c r="CV43" s="5">
        <f t="shared" si="91"/>
        <v>-49.869389951003399</v>
      </c>
      <c r="CW43" s="5">
        <f t="shared" si="91"/>
        <v>-49.869389951003399</v>
      </c>
      <c r="CX43" s="5">
        <f t="shared" si="91"/>
        <v>-49.869389951003399</v>
      </c>
      <c r="CY43" s="5">
        <f t="shared" si="92"/>
        <v>-49.869389951003399</v>
      </c>
      <c r="CZ43" s="5">
        <f t="shared" si="92"/>
        <v>-49.869389951003399</v>
      </c>
      <c r="DA43" s="5">
        <f t="shared" si="97"/>
        <v>-49.869389951003399</v>
      </c>
      <c r="DB43" s="5">
        <f t="shared" si="97"/>
        <v>-49.869389951003399</v>
      </c>
      <c r="DC43" s="5">
        <f t="shared" si="97"/>
        <v>-49.869389951003399</v>
      </c>
      <c r="DD43" s="5">
        <f t="shared" si="97"/>
        <v>-49.869389951003399</v>
      </c>
      <c r="DE43" s="5">
        <f t="shared" si="97"/>
        <v>-49.869389951003399</v>
      </c>
      <c r="DF43" s="5">
        <f t="shared" si="97"/>
        <v>-49.869389951003399</v>
      </c>
      <c r="DG43" s="5">
        <f t="shared" si="97"/>
        <v>-49.869389951003399</v>
      </c>
      <c r="DH43" s="5">
        <f t="shared" si="97"/>
        <v>-49.869389951003399</v>
      </c>
      <c r="DI43" s="5">
        <f t="shared" si="97"/>
        <v>-49.869389951003399</v>
      </c>
      <c r="DJ43" s="5">
        <f t="shared" si="97"/>
        <v>-49.869389951003399</v>
      </c>
      <c r="DK43" s="5">
        <f t="shared" si="97"/>
        <v>-49.869389951003399</v>
      </c>
      <c r="DL43" s="5">
        <f t="shared" si="97"/>
        <v>-49.869389951003399</v>
      </c>
      <c r="DM43" s="5">
        <f t="shared" si="97"/>
        <v>-49.869389951003399</v>
      </c>
      <c r="DN43" s="5">
        <f t="shared" si="97"/>
        <v>-49.869389951003399</v>
      </c>
      <c r="DO43" s="5">
        <f t="shared" si="97"/>
        <v>-49.869389951003399</v>
      </c>
      <c r="DP43" s="5">
        <f t="shared" si="97"/>
        <v>-49.869389951003399</v>
      </c>
      <c r="DQ43" s="5">
        <f t="shared" si="97"/>
        <v>-49.869389951003399</v>
      </c>
      <c r="DR43" s="5">
        <f t="shared" si="97"/>
        <v>-49.869389951003399</v>
      </c>
      <c r="DS43" s="5">
        <f t="shared" si="97"/>
        <v>-49.869389951003399</v>
      </c>
      <c r="DT43" s="5">
        <f t="shared" si="97"/>
        <v>-49.869389951003399</v>
      </c>
      <c r="DU43" s="5">
        <f t="shared" si="97"/>
        <v>-49.869389951003399</v>
      </c>
      <c r="DV43" s="5">
        <f t="shared" si="97"/>
        <v>-49.869389951003399</v>
      </c>
      <c r="DW43" s="5">
        <f t="shared" ref="DW43:ET43" si="105">PV($F16,DW$9,1,0)+(PV($J$6,$K$6-DW$9,1,0)/($J$6+1)^DW$9)</f>
        <v>-49.869389951003399</v>
      </c>
      <c r="DX43" s="5">
        <f t="shared" si="105"/>
        <v>-49.869389951003399</v>
      </c>
      <c r="DY43" s="5">
        <f t="shared" si="105"/>
        <v>-49.869389951003399</v>
      </c>
      <c r="DZ43" s="5">
        <f t="shared" si="105"/>
        <v>-49.869389951003399</v>
      </c>
      <c r="EA43" s="5">
        <f t="shared" si="105"/>
        <v>-49.869389951003399</v>
      </c>
      <c r="EB43" s="5">
        <f t="shared" si="105"/>
        <v>-49.869389951003399</v>
      </c>
      <c r="EC43" s="5">
        <f t="shared" si="105"/>
        <v>-49.869389951003399</v>
      </c>
      <c r="ED43" s="5">
        <f t="shared" si="105"/>
        <v>-49.869389951003399</v>
      </c>
      <c r="EE43" s="5">
        <f t="shared" si="105"/>
        <v>-49.869389951003399</v>
      </c>
      <c r="EF43" s="5">
        <f t="shared" si="105"/>
        <v>-49.869389951003399</v>
      </c>
      <c r="EG43" s="5">
        <f t="shared" si="105"/>
        <v>-49.869389951003399</v>
      </c>
      <c r="EH43" s="5">
        <f t="shared" si="105"/>
        <v>-49.869389951003399</v>
      </c>
      <c r="EI43" s="5">
        <f t="shared" si="105"/>
        <v>-49.869389951003399</v>
      </c>
      <c r="EJ43" s="5">
        <f t="shared" si="105"/>
        <v>-49.869389951003399</v>
      </c>
      <c r="EK43" s="5">
        <f t="shared" si="105"/>
        <v>-49.869389951003399</v>
      </c>
      <c r="EL43" s="5">
        <f t="shared" si="105"/>
        <v>-49.869389951003399</v>
      </c>
      <c r="EM43" s="5">
        <f t="shared" si="105"/>
        <v>-49.869389951003399</v>
      </c>
      <c r="EN43" s="5">
        <f t="shared" si="105"/>
        <v>-49.869389951003399</v>
      </c>
      <c r="EO43" s="5">
        <f t="shared" si="105"/>
        <v>-49.869389951003399</v>
      </c>
      <c r="EP43" s="5">
        <f t="shared" si="105"/>
        <v>-49.869389951003399</v>
      </c>
      <c r="EQ43" s="5">
        <f t="shared" si="105"/>
        <v>-49.869389951003399</v>
      </c>
      <c r="ER43" s="5">
        <f t="shared" si="105"/>
        <v>-49.869389951003399</v>
      </c>
      <c r="ES43" s="5">
        <f t="shared" si="105"/>
        <v>-49.869389951003399</v>
      </c>
      <c r="ET43" s="5">
        <f t="shared" si="105"/>
        <v>-49.869389951003399</v>
      </c>
      <c r="FF43" s="130" t="s">
        <v>370</v>
      </c>
      <c r="FG43" s="12">
        <v>2.5000000000000001E-2</v>
      </c>
      <c r="FH43" s="12">
        <v>120</v>
      </c>
      <c r="FI43" s="12">
        <v>2.2499999999999999E-2</v>
      </c>
      <c r="FJ43" s="82">
        <v>0.02</v>
      </c>
      <c r="FK43" s="134">
        <f t="shared" si="62"/>
        <v>2.7777777777777783E-4</v>
      </c>
      <c r="FL43">
        <f>VLOOKUP(FF43,'SIMULADOR COM SALDO'!$BF$22:$BS$268,13,FALSE)</f>
        <v>2.5000000000000001E-2</v>
      </c>
    </row>
    <row r="44" spans="5:168" hidden="1" x14ac:dyDescent="0.25">
      <c r="G44" s="5">
        <f t="shared" si="89"/>
        <v>-41.676396886081356</v>
      </c>
      <c r="H44" s="5">
        <f t="shared" si="103"/>
        <v>-41.686042949835574</v>
      </c>
      <c r="I44" s="5">
        <f t="shared" si="103"/>
        <v>-41.700276365032565</v>
      </c>
      <c r="J44" s="5">
        <f t="shared" si="103"/>
        <v>-41.7189451685488</v>
      </c>
      <c r="K44" s="5">
        <f t="shared" si="103"/>
        <v>-41.741901158558107</v>
      </c>
      <c r="L44" s="5">
        <f t="shared" si="103"/>
        <v>-41.768999811399411</v>
      </c>
      <c r="M44" s="5">
        <f t="shared" si="103"/>
        <v>-41.800100200177454</v>
      </c>
      <c r="N44" s="5">
        <f t="shared" si="103"/>
        <v>-41.835064915061622</v>
      </c>
      <c r="O44" s="5">
        <f t="shared" si="103"/>
        <v>-41.873759985248611</v>
      </c>
      <c r="P44" s="5">
        <f t="shared" si="103"/>
        <v>-41.916054802555323</v>
      </c>
      <c r="Q44" s="5">
        <f t="shared" si="103"/>
        <v>-41.961822046609335</v>
      </c>
      <c r="R44" s="5">
        <f t="shared" si="103"/>
        <v>-42.010937611604454</v>
      </c>
      <c r="S44" s="5">
        <f t="shared" si="103"/>
        <v>-42.063280534590007</v>
      </c>
      <c r="T44" s="5">
        <f t="shared" si="103"/>
        <v>-42.118732925262691</v>
      </c>
      <c r="U44" s="5">
        <f t="shared" si="103"/>
        <v>-42.177179897230687</v>
      </c>
      <c r="V44" s="5">
        <f t="shared" si="103"/>
        <v>-42.238509500720426</v>
      </c>
      <c r="W44" s="5">
        <f t="shared" si="103"/>
        <v>-42.302612656696617</v>
      </c>
      <c r="X44" s="5">
        <f t="shared" si="103"/>
        <v>-42.36938309236703</v>
      </c>
      <c r="Y44" s="5">
        <f t="shared" si="103"/>
        <v>-42.438717278044123</v>
      </c>
      <c r="Z44" s="5">
        <f t="shared" si="103"/>
        <v>-42.510514365335752</v>
      </c>
      <c r="AA44" s="5">
        <f t="shared" si="103"/>
        <v>-42.584676126638414</v>
      </c>
      <c r="AB44" s="5">
        <f t="shared" si="103"/>
        <v>-42.661106895906222</v>
      </c>
      <c r="AC44" s="5">
        <f t="shared" si="103"/>
        <v>-42.739713510670079</v>
      </c>
      <c r="AD44" s="5">
        <f t="shared" si="103"/>
        <v>-42.820405255281457</v>
      </c>
      <c r="AE44" s="5">
        <f t="shared" si="103"/>
        <v>-42.903093805355994</v>
      </c>
      <c r="AF44" s="5">
        <f t="shared" si="103"/>
        <v>-42.987693173392628</v>
      </c>
      <c r="AG44" s="5">
        <f t="shared" si="103"/>
        <v>-43.074119655544152</v>
      </c>
      <c r="AH44" s="5">
        <f t="shared" si="103"/>
        <v>-43.162291779516025</v>
      </c>
      <c r="AI44" s="5">
        <f t="shared" si="103"/>
        <v>-43.252130253570428</v>
      </c>
      <c r="AJ44" s="5">
        <f t="shared" si="103"/>
        <v>-43.343557916612824</v>
      </c>
      <c r="AK44" s="5">
        <f t="shared" si="103"/>
        <v>-43.436499689339399</v>
      </c>
      <c r="AL44" s="5">
        <f t="shared" si="103"/>
        <v>-43.530882526423397</v>
      </c>
      <c r="AM44" s="5">
        <f t="shared" si="103"/>
        <v>-43.626635369719388</v>
      </c>
      <c r="AN44" s="5">
        <f t="shared" si="103"/>
        <v>-43.723689102464611</v>
      </c>
      <c r="AO44" s="5">
        <f t="shared" si="103"/>
        <v>-43.821976504457062</v>
      </c>
      <c r="AP44" s="5">
        <f t="shared" si="103"/>
        <v>-43.921432208190417</v>
      </c>
      <c r="AQ44" s="5">
        <f t="shared" si="103"/>
        <v>-44.021992655926191</v>
      </c>
      <c r="AR44" s="5">
        <f t="shared" si="103"/>
        <v>-44.12359605768399</v>
      </c>
      <c r="AS44" s="5">
        <f t="shared" si="103"/>
        <v>-44.226182350131104</v>
      </c>
      <c r="AT44" s="5">
        <f t="shared" si="103"/>
        <v>-44.329693156352988</v>
      </c>
      <c r="AU44" s="5">
        <f t="shared" si="103"/>
        <v>-44.434071746486673</v>
      </c>
      <c r="AV44" s="5">
        <f t="shared" si="103"/>
        <v>-44.539262999199295</v>
      </c>
      <c r="AW44" s="5">
        <f t="shared" si="103"/>
        <v>-44.645213363994593</v>
      </c>
      <c r="AX44" s="5">
        <f t="shared" si="103"/>
        <v>-44.751870824330155</v>
      </c>
      <c r="AY44" s="5">
        <f t="shared" si="103"/>
        <v>-44.859184861529094</v>
      </c>
      <c r="AZ44" s="5">
        <f t="shared" si="103"/>
        <v>-44.967106419469559</v>
      </c>
      <c r="BA44" s="5">
        <f t="shared" si="103"/>
        <v>-45.075587870036088</v>
      </c>
      <c r="BB44" s="5">
        <f t="shared" si="103"/>
        <v>-45.184582979317511</v>
      </c>
      <c r="BC44" s="5">
        <f t="shared" si="103"/>
        <v>-45.294046874535539</v>
      </c>
      <c r="BD44" s="5">
        <f t="shared" si="103"/>
        <v>-45.403936011689318</v>
      </c>
      <c r="BE44" s="5">
        <f t="shared" si="103"/>
        <v>-45.514208143901207</v>
      </c>
      <c r="BF44" s="5">
        <f t="shared" si="103"/>
        <v>-45.624822290449067</v>
      </c>
      <c r="BG44" s="5">
        <f t="shared" si="103"/>
        <v>-45.735738706471217</v>
      </c>
      <c r="BH44" s="5">
        <f t="shared" si="103"/>
        <v>-45.846918853329974</v>
      </c>
      <c r="BI44" s="5">
        <f t="shared" si="103"/>
        <v>-45.958325369620248</v>
      </c>
      <c r="BJ44" s="5">
        <f t="shared" si="103"/>
        <v>-46.0699220428098</v>
      </c>
      <c r="BK44" s="5">
        <f t="shared" si="103"/>
        <v>-46.181673781498247</v>
      </c>
      <c r="BL44" s="5">
        <f t="shared" si="103"/>
        <v>-46.293546588281806</v>
      </c>
      <c r="BM44" s="5">
        <f t="shared" si="103"/>
        <v>-46.405507533211448</v>
      </c>
      <c r="BN44" s="5">
        <f t="shared" si="103"/>
        <v>-46.517524727831933</v>
      </c>
      <c r="BO44" s="5">
        <f t="shared" si="103"/>
        <v>-46.629567299789983</v>
      </c>
      <c r="BP44" s="5">
        <f t="shared" si="103"/>
        <v>-46.741605367999455</v>
      </c>
      <c r="BQ44" s="5">
        <f t="shared" si="103"/>
        <v>-46.8536100183522</v>
      </c>
      <c r="BR44" s="5">
        <f t="shared" si="103"/>
        <v>-46.96555327996316</v>
      </c>
      <c r="BS44" s="5">
        <f t="shared" si="103"/>
        <v>-47.077408101938637</v>
      </c>
      <c r="BT44" s="5">
        <f t="shared" si="91"/>
        <v>-47.189148330656785</v>
      </c>
      <c r="BU44" s="5">
        <f t="shared" si="91"/>
        <v>-47.300748687549735</v>
      </c>
      <c r="BV44" s="5">
        <f t="shared" si="91"/>
        <v>-47.412184747376919</v>
      </c>
      <c r="BW44" s="5">
        <f t="shared" si="91"/>
        <v>-47.523432916979246</v>
      </c>
      <c r="BX44" s="5">
        <f t="shared" si="91"/>
        <v>-47.634470414504165</v>
      </c>
      <c r="BY44" s="5">
        <f t="shared" si="91"/>
        <v>-47.745275249091797</v>
      </c>
      <c r="BZ44" s="5">
        <f t="shared" si="91"/>
        <v>-47.855826201012547</v>
      </c>
      <c r="CA44" s="5">
        <f t="shared" si="91"/>
        <v>-47.966102802246546</v>
      </c>
      <c r="CB44" s="5">
        <f t="shared" si="91"/>
        <v>-48.076085317495988</v>
      </c>
      <c r="CC44" s="5">
        <f t="shared" si="91"/>
        <v>-48.185754725620988</v>
      </c>
      <c r="CD44" s="5">
        <f t="shared" si="91"/>
        <v>-48.295092701490375</v>
      </c>
      <c r="CE44" s="5">
        <f t="shared" si="91"/>
        <v>-48.40408159823842</v>
      </c>
      <c r="CF44" s="5">
        <f t="shared" si="91"/>
        <v>-48.512704429919324</v>
      </c>
      <c r="CG44" s="5">
        <f t="shared" si="91"/>
        <v>-48.620944854550672</v>
      </c>
      <c r="CH44" s="5">
        <f t="shared" si="91"/>
        <v>-48.728787157538221</v>
      </c>
      <c r="CI44" s="5">
        <f t="shared" si="91"/>
        <v>-48.836216235473387</v>
      </c>
      <c r="CJ44" s="5">
        <f t="shared" si="91"/>
        <v>-48.943217580296178</v>
      </c>
      <c r="CK44" s="5">
        <f t="shared" si="91"/>
        <v>-49.049777263815407</v>
      </c>
      <c r="CL44" s="5">
        <f t="shared" si="91"/>
        <v>-49.155881922578928</v>
      </c>
      <c r="CM44" s="5">
        <f t="shared" si="91"/>
        <v>-49.155881922578928</v>
      </c>
      <c r="CN44" s="5">
        <f t="shared" si="91"/>
        <v>-49.155881922578928</v>
      </c>
      <c r="CO44" s="5">
        <f t="shared" si="91"/>
        <v>-49.155881922578928</v>
      </c>
      <c r="CP44" s="5">
        <f t="shared" si="91"/>
        <v>-49.155881922578928</v>
      </c>
      <c r="CQ44" s="5">
        <f t="shared" si="91"/>
        <v>-49.155881922578928</v>
      </c>
      <c r="CR44" s="5">
        <f t="shared" si="91"/>
        <v>-49.155881922578928</v>
      </c>
      <c r="CS44" s="5">
        <f t="shared" si="91"/>
        <v>-49.155881922578928</v>
      </c>
      <c r="CT44" s="5">
        <f t="shared" si="91"/>
        <v>-49.155881922578928</v>
      </c>
      <c r="CU44" s="5">
        <f t="shared" si="91"/>
        <v>-49.155881922578928</v>
      </c>
      <c r="CV44" s="5">
        <f t="shared" si="91"/>
        <v>-49.155881922578928</v>
      </c>
      <c r="CW44" s="5">
        <f t="shared" si="91"/>
        <v>-49.155881922578928</v>
      </c>
      <c r="CX44" s="5">
        <f t="shared" si="91"/>
        <v>-49.155881922578928</v>
      </c>
      <c r="CY44" s="5">
        <f t="shared" si="92"/>
        <v>-49.155881922578928</v>
      </c>
      <c r="CZ44" s="5">
        <f t="shared" si="92"/>
        <v>-49.155881922578928</v>
      </c>
      <c r="DA44" s="5">
        <f t="shared" si="97"/>
        <v>-49.155881922578928</v>
      </c>
      <c r="DB44" s="5">
        <f t="shared" si="97"/>
        <v>-49.155881922578928</v>
      </c>
      <c r="DC44" s="5">
        <f t="shared" si="97"/>
        <v>-49.155881922578928</v>
      </c>
      <c r="DD44" s="5">
        <f t="shared" si="97"/>
        <v>-49.155881922578928</v>
      </c>
      <c r="DE44" s="5">
        <f t="shared" si="97"/>
        <v>-49.155881922578928</v>
      </c>
      <c r="DF44" s="5">
        <f t="shared" si="97"/>
        <v>-49.155881922578928</v>
      </c>
      <c r="DG44" s="5">
        <f t="shared" si="97"/>
        <v>-49.155881922578928</v>
      </c>
      <c r="DH44" s="5">
        <f t="shared" si="97"/>
        <v>-49.155881922578928</v>
      </c>
      <c r="DI44" s="5">
        <f t="shared" si="97"/>
        <v>-49.155881922578928</v>
      </c>
      <c r="DJ44" s="5">
        <f t="shared" si="97"/>
        <v>-49.155881922578928</v>
      </c>
      <c r="DK44" s="5">
        <f t="shared" si="97"/>
        <v>-49.155881922578928</v>
      </c>
      <c r="DL44" s="5">
        <f t="shared" si="97"/>
        <v>-49.155881922578928</v>
      </c>
      <c r="DM44" s="5">
        <f t="shared" si="97"/>
        <v>-49.155881922578928</v>
      </c>
      <c r="DN44" s="5">
        <f t="shared" si="97"/>
        <v>-49.155881922578928</v>
      </c>
      <c r="DO44" s="5">
        <f t="shared" si="97"/>
        <v>-49.155881922578928</v>
      </c>
      <c r="DP44" s="5">
        <f t="shared" si="97"/>
        <v>-49.155881922578928</v>
      </c>
      <c r="DQ44" s="5">
        <f t="shared" si="97"/>
        <v>-49.155881922578928</v>
      </c>
      <c r="DR44" s="5">
        <f t="shared" si="97"/>
        <v>-49.155881922578928</v>
      </c>
      <c r="DS44" s="5">
        <f t="shared" si="97"/>
        <v>-49.155881922578928</v>
      </c>
      <c r="DT44" s="5">
        <f t="shared" si="97"/>
        <v>-49.155881922578928</v>
      </c>
      <c r="DU44" s="5">
        <f t="shared" si="97"/>
        <v>-49.155881922578928</v>
      </c>
      <c r="DV44" s="5">
        <f t="shared" si="97"/>
        <v>-49.155881922578928</v>
      </c>
      <c r="DW44" s="5">
        <f t="shared" ref="DW44:ET44" si="106">PV($F17,DW$9,1,0)+(PV($J$6,$K$6-DW$9,1,0)/($J$6+1)^DW$9)</f>
        <v>-49.155881922578928</v>
      </c>
      <c r="DX44" s="5">
        <f t="shared" si="106"/>
        <v>-49.155881922578928</v>
      </c>
      <c r="DY44" s="5">
        <f t="shared" si="106"/>
        <v>-49.155881922578928</v>
      </c>
      <c r="DZ44" s="5">
        <f t="shared" si="106"/>
        <v>-49.155881922578928</v>
      </c>
      <c r="EA44" s="5">
        <f t="shared" si="106"/>
        <v>-49.155881922578928</v>
      </c>
      <c r="EB44" s="5">
        <f t="shared" si="106"/>
        <v>-49.155881922578928</v>
      </c>
      <c r="EC44" s="5">
        <f t="shared" si="106"/>
        <v>-49.155881922578928</v>
      </c>
      <c r="ED44" s="5">
        <f t="shared" si="106"/>
        <v>-49.155881922578928</v>
      </c>
      <c r="EE44" s="5">
        <f t="shared" si="106"/>
        <v>-49.155881922578928</v>
      </c>
      <c r="EF44" s="5">
        <f t="shared" si="106"/>
        <v>-49.155881922578928</v>
      </c>
      <c r="EG44" s="5">
        <f t="shared" si="106"/>
        <v>-49.155881922578928</v>
      </c>
      <c r="EH44" s="5">
        <f t="shared" si="106"/>
        <v>-49.155881922578928</v>
      </c>
      <c r="EI44" s="5">
        <f t="shared" si="106"/>
        <v>-49.155881922578928</v>
      </c>
      <c r="EJ44" s="5">
        <f t="shared" si="106"/>
        <v>-49.155881922578928</v>
      </c>
      <c r="EK44" s="5">
        <f t="shared" si="106"/>
        <v>-49.155881922578928</v>
      </c>
      <c r="EL44" s="5">
        <f t="shared" si="106"/>
        <v>-49.155881922578928</v>
      </c>
      <c r="EM44" s="5">
        <f t="shared" si="106"/>
        <v>-49.155881922578928</v>
      </c>
      <c r="EN44" s="5">
        <f t="shared" si="106"/>
        <v>-49.155881922578928</v>
      </c>
      <c r="EO44" s="5">
        <f t="shared" si="106"/>
        <v>-49.155881922578928</v>
      </c>
      <c r="EP44" s="5">
        <f t="shared" si="106"/>
        <v>-49.155881922578928</v>
      </c>
      <c r="EQ44" s="5">
        <f t="shared" si="106"/>
        <v>-49.155881922578928</v>
      </c>
      <c r="ER44" s="5">
        <f t="shared" si="106"/>
        <v>-49.155881922578928</v>
      </c>
      <c r="ES44" s="5">
        <f t="shared" si="106"/>
        <v>-49.155881922578928</v>
      </c>
      <c r="ET44" s="5">
        <f t="shared" si="106"/>
        <v>-49.155881922578928</v>
      </c>
      <c r="FF44" s="130" t="s">
        <v>193</v>
      </c>
      <c r="FG44" s="12">
        <v>2.2000000000000002E-2</v>
      </c>
      <c r="FH44" s="12">
        <v>120</v>
      </c>
      <c r="FI44" s="12">
        <v>1.9E-2</v>
      </c>
      <c r="FJ44" s="82">
        <v>1.6500000000000001E-2</v>
      </c>
      <c r="FK44" s="134">
        <f t="shared" si="62"/>
        <v>3.0555555555555566E-4</v>
      </c>
      <c r="FL44">
        <f>VLOOKUP(FF44,'SIMULADOR COM SALDO'!$BF$22:$BS$268,13,FALSE)</f>
        <v>2.2000000000000002E-2</v>
      </c>
    </row>
    <row r="45" spans="5:168" hidden="1" x14ac:dyDescent="0.25">
      <c r="G45" s="5">
        <f t="shared" si="89"/>
        <v>-41.675986440267209</v>
      </c>
      <c r="H45" s="5">
        <f t="shared" si="103"/>
        <v>-41.684823141280177</v>
      </c>
      <c r="I45" s="5">
        <f t="shared" si="103"/>
        <v>-41.697859562805014</v>
      </c>
      <c r="J45" s="5">
        <f t="shared" si="103"/>
        <v>-41.714954789372577</v>
      </c>
      <c r="K45" s="5">
        <f t="shared" si="103"/>
        <v>-41.735971432938271</v>
      </c>
      <c r="L45" s="5">
        <f t="shared" si="103"/>
        <v>-41.760775554140459</v>
      </c>
      <c r="M45" s="5">
        <f t="shared" si="103"/>
        <v>-41.789236585214418</v>
      </c>
      <c r="N45" s="5">
        <f t="shared" si="103"/>
        <v>-41.821227254528772</v>
      </c>
      <c r="O45" s="5">
        <f t="shared" si="103"/>
        <v>-41.856623512710868</v>
      </c>
      <c r="P45" s="5">
        <f t="shared" si="103"/>
        <v>-41.895304460329221</v>
      </c>
      <c r="Q45" s="5">
        <f t="shared" si="103"/>
        <v>-41.937152277101269</v>
      </c>
      <c r="R45" s="5">
        <f t="shared" si="103"/>
        <v>-41.982052152595529</v>
      </c>
      <c r="S45" s="5">
        <f t="shared" si="103"/>
        <v>-42.029892218397443</v>
      </c>
      <c r="T45" s="5">
        <f t="shared" si="103"/>
        <v>-42.080563481709589</v>
      </c>
      <c r="U45" s="5">
        <f t="shared" si="103"/>
        <v>-42.133959760356596</v>
      </c>
      <c r="V45" s="5">
        <f t="shared" si="103"/>
        <v>-42.18997761916664</v>
      </c>
      <c r="W45" s="5">
        <f t="shared" si="103"/>
        <v>-42.248516307700918</v>
      </c>
      <c r="X45" s="5">
        <f t="shared" si="103"/>
        <v>-42.309477699304026</v>
      </c>
      <c r="Y45" s="5">
        <f t="shared" si="103"/>
        <v>-42.372766231448239</v>
      </c>
      <c r="Z45" s="5">
        <f t="shared" si="103"/>
        <v>-42.438288847345007</v>
      </c>
      <c r="AA45" s="5">
        <f t="shared" si="103"/>
        <v>-42.505954938798183</v>
      </c>
      <c r="AB45" s="5">
        <f t="shared" si="103"/>
        <v>-42.575676290273307</v>
      </c>
      <c r="AC45" s="5">
        <f t="shared" si="103"/>
        <v>-42.647367024158228</v>
      </c>
      <c r="AD45" s="5">
        <f t="shared" si="103"/>
        <v>-42.720943547190707</v>
      </c>
      <c r="AE45" s="5">
        <f t="shared" si="103"/>
        <v>-42.796324498028959</v>
      </c>
      <c r="AF45" s="5">
        <f t="shared" si="103"/>
        <v>-42.873430695942019</v>
      </c>
      <c r="AG45" s="5">
        <f t="shared" si="103"/>
        <v>-42.952185090596643</v>
      </c>
      <c r="AH45" s="5">
        <f t="shared" si="103"/>
        <v>-43.032512712918695</v>
      </c>
      <c r="AI45" s="5">
        <f t="shared" si="103"/>
        <v>-43.114340627006492</v>
      </c>
      <c r="AJ45" s="5">
        <f t="shared" si="103"/>
        <v>-43.197597883074863</v>
      </c>
      <c r="AK45" s="5">
        <f t="shared" si="103"/>
        <v>-43.28221547140874</v>
      </c>
      <c r="AL45" s="5">
        <f t="shared" si="103"/>
        <v>-43.368126277305407</v>
      </c>
      <c r="AM45" s="5">
        <f t="shared" si="103"/>
        <v>-43.455265036985097</v>
      </c>
      <c r="AN45" s="5">
        <f t="shared" si="103"/>
        <v>-43.543568294450168</v>
      </c>
      <c r="AO45" s="5">
        <f t="shared" si="103"/>
        <v>-43.632974359273227</v>
      </c>
      <c r="AP45" s="5">
        <f t="shared" si="103"/>
        <v>-43.72342326529504</v>
      </c>
      <c r="AQ45" s="5">
        <f t="shared" si="103"/>
        <v>-43.814856730213599</v>
      </c>
      <c r="AR45" s="5">
        <f t="shared" si="103"/>
        <v>-43.907218116045854</v>
      </c>
      <c r="AS45" s="5">
        <f t="shared" si="103"/>
        <v>-44.000452390444302</v>
      </c>
      <c r="AT45" s="5">
        <f t="shared" si="103"/>
        <v>-44.094506088850487</v>
      </c>
      <c r="AU45" s="5">
        <f t="shared" si="103"/>
        <v>-44.189327277468436</v>
      </c>
      <c r="AV45" s="5">
        <f t="shared" si="103"/>
        <v>-44.284865517040899</v>
      </c>
      <c r="AW45" s="5">
        <f t="shared" si="103"/>
        <v>-44.381071827411894</v>
      </c>
      <c r="AX45" s="5">
        <f t="shared" si="103"/>
        <v>-44.477898652859224</v>
      </c>
      <c r="AY45" s="5">
        <f t="shared" si="103"/>
        <v>-44.575299828181038</v>
      </c>
      <c r="AZ45" s="5">
        <f t="shared" si="103"/>
        <v>-44.673230545520852</v>
      </c>
      <c r="BA45" s="5">
        <f t="shared" si="103"/>
        <v>-44.771647321915715</v>
      </c>
      <c r="BB45" s="5">
        <f t="shared" si="103"/>
        <v>-44.870507967552541</v>
      </c>
      <c r="BC45" s="5">
        <f t="shared" si="103"/>
        <v>-44.969771554717767</v>
      </c>
      <c r="BD45" s="5">
        <f t="shared" si="103"/>
        <v>-45.069398387426176</v>
      </c>
      <c r="BE45" s="5">
        <f t="shared" si="103"/>
        <v>-45.16934997171461</v>
      </c>
      <c r="BF45" s="5">
        <f t="shared" si="103"/>
        <v>-45.269588986586768</v>
      </c>
      <c r="BG45" s="5">
        <f t="shared" si="103"/>
        <v>-45.370079255595563</v>
      </c>
      <c r="BH45" s="5">
        <f t="shared" si="103"/>
        <v>-45.470785719049836</v>
      </c>
      <c r="BI45" s="5">
        <f t="shared" si="103"/>
        <v>-45.571674406832216</v>
      </c>
      <c r="BJ45" s="5">
        <f t="shared" si="103"/>
        <v>-45.672712411815617</v>
      </c>
      <c r="BK45" s="5">
        <f t="shared" si="103"/>
        <v>-45.773867863865789</v>
      </c>
      <c r="BL45" s="5">
        <f t="shared" si="103"/>
        <v>-45.875109904417542</v>
      </c>
      <c r="BM45" s="5">
        <f t="shared" si="103"/>
        <v>-45.976408661612972</v>
      </c>
      <c r="BN45" s="5">
        <f t="shared" si="103"/>
        <v>-46.07773522598967</v>
      </c>
      <c r="BO45" s="5">
        <f t="shared" si="103"/>
        <v>-46.179061626707465</v>
      </c>
      <c r="BP45" s="5">
        <f t="shared" si="103"/>
        <v>-46.280360808302568</v>
      </c>
      <c r="BQ45" s="5">
        <f t="shared" si="103"/>
        <v>-46.381606607957821</v>
      </c>
      <c r="BR45" s="5">
        <f t="shared" si="103"/>
        <v>-46.482773733278535</v>
      </c>
      <c r="BS45" s="5">
        <f t="shared" ref="BS45" si="107">PV($F18,BS$9,1,0)+(PV($J$6,$K$6-BS$9,1,0)/($J$6+1)^BS$9)</f>
        <v>-46.583837740562998</v>
      </c>
      <c r="BT45" s="5">
        <f t="shared" si="91"/>
        <v>-46.684775013557484</v>
      </c>
      <c r="BU45" s="5">
        <f t="shared" si="91"/>
        <v>-46.785562742685514</v>
      </c>
      <c r="BV45" s="5">
        <f t="shared" si="91"/>
        <v>-46.886178904741385</v>
      </c>
      <c r="BW45" s="5">
        <f t="shared" si="91"/>
        <v>-46.986602243038156</v>
      </c>
      <c r="BX45" s="5">
        <f t="shared" si="91"/>
        <v>-47.086812248000669</v>
      </c>
      <c r="BY45" s="5">
        <f t="shared" si="91"/>
        <v>-47.186789138194037</v>
      </c>
      <c r="BZ45" s="5">
        <f t="shared" si="91"/>
        <v>-47.286513841778564</v>
      </c>
      <c r="CA45" s="5">
        <f t="shared" si="91"/>
        <v>-47.385967978381998</v>
      </c>
      <c r="CB45" s="5">
        <f t="shared" si="91"/>
        <v>-47.485133841380353</v>
      </c>
      <c r="CC45" s="5">
        <f t="shared" si="91"/>
        <v>-47.583994380578616</v>
      </c>
      <c r="CD45" s="5">
        <f t="shared" si="91"/>
        <v>-47.682533185283056</v>
      </c>
      <c r="CE45" s="5">
        <f t="shared" si="91"/>
        <v>-47.780734467756396</v>
      </c>
      <c r="CF45" s="5">
        <f t="shared" si="91"/>
        <v>-47.878583047048416</v>
      </c>
      <c r="CG45" s="5">
        <f t="shared" si="91"/>
        <v>-47.976064333193264</v>
      </c>
      <c r="CH45" s="5">
        <f t="shared" si="91"/>
        <v>-48.073164311766391</v>
      </c>
      <c r="CI45" s="5">
        <f t="shared" si="91"/>
        <v>-48.16986952879293</v>
      </c>
      <c r="CJ45" s="5">
        <f t="shared" si="91"/>
        <v>-48.266167076000364</v>
      </c>
      <c r="CK45" s="5">
        <f t="shared" si="91"/>
        <v>-48.362044576408032</v>
      </c>
      <c r="CL45" s="5">
        <f t="shared" si="91"/>
        <v>-48.457490170246295</v>
      </c>
      <c r="CM45" s="5">
        <f t="shared" si="91"/>
        <v>-48.457490170246295</v>
      </c>
      <c r="CN45" s="5">
        <f t="shared" si="91"/>
        <v>-48.457490170246295</v>
      </c>
      <c r="CO45" s="5">
        <f t="shared" si="91"/>
        <v>-48.457490170246295</v>
      </c>
      <c r="CP45" s="5">
        <f t="shared" si="91"/>
        <v>-48.457490170246295</v>
      </c>
      <c r="CQ45" s="5">
        <f t="shared" si="91"/>
        <v>-48.457490170246295</v>
      </c>
      <c r="CR45" s="5">
        <f t="shared" si="91"/>
        <v>-48.457490170246295</v>
      </c>
      <c r="CS45" s="5">
        <f t="shared" si="91"/>
        <v>-48.457490170246295</v>
      </c>
      <c r="CT45" s="5">
        <f t="shared" si="91"/>
        <v>-48.457490170246295</v>
      </c>
      <c r="CU45" s="5">
        <f t="shared" si="91"/>
        <v>-48.457490170246295</v>
      </c>
      <c r="CV45" s="5">
        <f t="shared" si="91"/>
        <v>-48.457490170246295</v>
      </c>
      <c r="CW45" s="5">
        <f t="shared" si="91"/>
        <v>-48.457490170246295</v>
      </c>
      <c r="CX45" s="5">
        <f t="shared" si="91"/>
        <v>-48.457490170246295</v>
      </c>
      <c r="CY45" s="5">
        <f t="shared" si="92"/>
        <v>-48.457490170246295</v>
      </c>
      <c r="CZ45" s="5">
        <f t="shared" si="92"/>
        <v>-48.457490170246295</v>
      </c>
      <c r="DA45" s="5">
        <f t="shared" si="97"/>
        <v>-48.457490170246295</v>
      </c>
      <c r="DB45" s="5">
        <f t="shared" si="97"/>
        <v>-48.457490170246295</v>
      </c>
      <c r="DC45" s="5">
        <f t="shared" si="97"/>
        <v>-48.457490170246295</v>
      </c>
      <c r="DD45" s="5">
        <f t="shared" si="97"/>
        <v>-48.457490170246295</v>
      </c>
      <c r="DE45" s="5">
        <f t="shared" si="97"/>
        <v>-48.457490170246295</v>
      </c>
      <c r="DF45" s="5">
        <f t="shared" si="97"/>
        <v>-48.457490170246295</v>
      </c>
      <c r="DG45" s="5">
        <f t="shared" si="97"/>
        <v>-48.457490170246295</v>
      </c>
      <c r="DH45" s="5">
        <f t="shared" si="97"/>
        <v>-48.457490170246295</v>
      </c>
      <c r="DI45" s="5">
        <f t="shared" si="97"/>
        <v>-48.457490170246295</v>
      </c>
      <c r="DJ45" s="5">
        <f t="shared" si="97"/>
        <v>-48.457490170246295</v>
      </c>
      <c r="DK45" s="5">
        <f t="shared" si="97"/>
        <v>-48.457490170246295</v>
      </c>
      <c r="DL45" s="5">
        <f t="shared" si="97"/>
        <v>-48.457490170246295</v>
      </c>
      <c r="DM45" s="5">
        <f t="shared" si="97"/>
        <v>-48.457490170246295</v>
      </c>
      <c r="DN45" s="5">
        <f t="shared" si="97"/>
        <v>-48.457490170246295</v>
      </c>
      <c r="DO45" s="5">
        <f t="shared" si="97"/>
        <v>-48.457490170246295</v>
      </c>
      <c r="DP45" s="5">
        <f t="shared" si="97"/>
        <v>-48.457490170246295</v>
      </c>
      <c r="DQ45" s="5">
        <f t="shared" si="97"/>
        <v>-48.457490170246295</v>
      </c>
      <c r="DR45" s="5">
        <f t="shared" si="97"/>
        <v>-48.457490170246295</v>
      </c>
      <c r="DS45" s="5">
        <f t="shared" si="97"/>
        <v>-48.457490170246295</v>
      </c>
      <c r="DT45" s="5">
        <f t="shared" si="97"/>
        <v>-48.457490170246295</v>
      </c>
      <c r="DU45" s="5">
        <f t="shared" si="97"/>
        <v>-48.457490170246295</v>
      </c>
      <c r="DV45" s="5">
        <f t="shared" si="97"/>
        <v>-48.457490170246295</v>
      </c>
      <c r="DW45" s="5">
        <f t="shared" ref="DW45:ET45" si="108">PV($F18,DW$9,1,0)+(PV($J$6,$K$6-DW$9,1,0)/($J$6+1)^DW$9)</f>
        <v>-48.457490170246295</v>
      </c>
      <c r="DX45" s="5">
        <f t="shared" si="108"/>
        <v>-48.457490170246295</v>
      </c>
      <c r="DY45" s="5">
        <f t="shared" si="108"/>
        <v>-48.457490170246295</v>
      </c>
      <c r="DZ45" s="5">
        <f t="shared" si="108"/>
        <v>-48.457490170246295</v>
      </c>
      <c r="EA45" s="5">
        <f t="shared" si="108"/>
        <v>-48.457490170246295</v>
      </c>
      <c r="EB45" s="5">
        <f t="shared" si="108"/>
        <v>-48.457490170246295</v>
      </c>
      <c r="EC45" s="5">
        <f t="shared" si="108"/>
        <v>-48.457490170246295</v>
      </c>
      <c r="ED45" s="5">
        <f t="shared" si="108"/>
        <v>-48.457490170246295</v>
      </c>
      <c r="EE45" s="5">
        <f t="shared" si="108"/>
        <v>-48.457490170246295</v>
      </c>
      <c r="EF45" s="5">
        <f t="shared" si="108"/>
        <v>-48.457490170246295</v>
      </c>
      <c r="EG45" s="5">
        <f t="shared" si="108"/>
        <v>-48.457490170246295</v>
      </c>
      <c r="EH45" s="5">
        <f t="shared" si="108"/>
        <v>-48.457490170246295</v>
      </c>
      <c r="EI45" s="5">
        <f t="shared" si="108"/>
        <v>-48.457490170246295</v>
      </c>
      <c r="EJ45" s="5">
        <f t="shared" si="108"/>
        <v>-48.457490170246295</v>
      </c>
      <c r="EK45" s="5">
        <f t="shared" si="108"/>
        <v>-48.457490170246295</v>
      </c>
      <c r="EL45" s="5">
        <f t="shared" si="108"/>
        <v>-48.457490170246295</v>
      </c>
      <c r="EM45" s="5">
        <f t="shared" si="108"/>
        <v>-48.457490170246295</v>
      </c>
      <c r="EN45" s="5">
        <f t="shared" si="108"/>
        <v>-48.457490170246295</v>
      </c>
      <c r="EO45" s="5">
        <f t="shared" si="108"/>
        <v>-48.457490170246295</v>
      </c>
      <c r="EP45" s="5">
        <f t="shared" si="108"/>
        <v>-48.457490170246295</v>
      </c>
      <c r="EQ45" s="5">
        <f t="shared" si="108"/>
        <v>-48.457490170246295</v>
      </c>
      <c r="ER45" s="5">
        <f t="shared" si="108"/>
        <v>-48.457490170246295</v>
      </c>
      <c r="ES45" s="5">
        <f t="shared" si="108"/>
        <v>-48.457490170246295</v>
      </c>
      <c r="ET45" s="5">
        <f t="shared" si="108"/>
        <v>-48.457490170246295</v>
      </c>
      <c r="FF45" s="130" t="s">
        <v>195</v>
      </c>
      <c r="FG45" s="12">
        <v>2.1000000000000001E-2</v>
      </c>
      <c r="FH45" s="12">
        <v>120</v>
      </c>
      <c r="FI45" s="12">
        <v>1.8000000000000002E-2</v>
      </c>
      <c r="FJ45" s="82">
        <v>1.3999999999999999E-2</v>
      </c>
      <c r="FK45" s="134">
        <f t="shared" si="62"/>
        <v>3.8888888888888903E-4</v>
      </c>
      <c r="FL45">
        <f>VLOOKUP(FF45,'SIMULADOR COM SALDO'!$BF$22:$BS$268,13,FALSE)</f>
        <v>2.1000000000000001E-2</v>
      </c>
    </row>
    <row r="46" spans="5:168" hidden="1" x14ac:dyDescent="0.25">
      <c r="G46" s="5">
        <f t="shared" si="89"/>
        <v>-41.675576335970732</v>
      </c>
      <c r="H46" s="5">
        <f t="shared" ref="H46:BS49" si="109">PV($F19,H$9,1,0)+(PV($J$6,$K$6-H$9,1,0)/($J$6+1)^H$9)</f>
        <v>-41.683604684196133</v>
      </c>
      <c r="I46" s="5">
        <f t="shared" si="109"/>
        <v>-41.695446103173651</v>
      </c>
      <c r="J46" s="5">
        <f t="shared" si="109"/>
        <v>-41.710971024046678</v>
      </c>
      <c r="K46" s="5">
        <f t="shared" si="109"/>
        <v>-41.730053158130019</v>
      </c>
      <c r="L46" s="5">
        <f t="shared" si="109"/>
        <v>-41.752569422945875</v>
      </c>
      <c r="M46" s="5">
        <f t="shared" si="109"/>
        <v>-41.778399869829144</v>
      </c>
      <c r="N46" s="5">
        <f t="shared" si="109"/>
        <v>-41.807427613069926</v>
      </c>
      <c r="O46" s="5">
        <f t="shared" si="109"/>
        <v>-41.839538760561716</v>
      </c>
      <c r="P46" s="5">
        <f t="shared" si="109"/>
        <v>-41.874622345924564</v>
      </c>
      <c r="Q46" s="5">
        <f t="shared" si="109"/>
        <v>-41.912570262072855</v>
      </c>
      <c r="R46" s="5">
        <f t="shared" si="109"/>
        <v>-41.95327719619835</v>
      </c>
      <c r="S46" s="5">
        <f t="shared" si="109"/>
        <v>-41.996640566139114</v>
      </c>
      <c r="T46" s="5">
        <f t="shared" si="109"/>
        <v>-42.042560458106237</v>
      </c>
      <c r="U46" s="5">
        <f t="shared" si="109"/>
        <v>-42.090939565740278</v>
      </c>
      <c r="V46" s="5">
        <f t="shared" si="109"/>
        <v>-42.141683130470227</v>
      </c>
      <c r="W46" s="5">
        <f t="shared" si="109"/>
        <v>-42.194698883148092</v>
      </c>
      <c r="X46" s="5">
        <f t="shared" si="109"/>
        <v>-42.249896986933095</v>
      </c>
      <c r="Y46" s="5">
        <f t="shared" si="109"/>
        <v>-42.307189981399588</v>
      </c>
      <c r="Z46" s="5">
        <f t="shared" si="109"/>
        <v>-42.366492727843607</v>
      </c>
      <c r="AA46" s="5">
        <f t="shared" si="109"/>
        <v>-42.427722355763329</v>
      </c>
      <c r="AB46" s="5">
        <f t="shared" si="109"/>
        <v>-42.490798210489302</v>
      </c>
      <c r="AC46" s="5">
        <f t="shared" si="109"/>
        <v>-42.555641801940709</v>
      </c>
      <c r="AD46" s="5">
        <f t="shared" si="109"/>
        <v>-42.622176754484457</v>
      </c>
      <c r="AE46" s="5">
        <f t="shared" si="109"/>
        <v>-42.690328757874347</v>
      </c>
      <c r="AF46" s="5">
        <f t="shared" si="109"/>
        <v>-42.760025519247975</v>
      </c>
      <c r="AG46" s="5">
        <f t="shared" si="109"/>
        <v>-42.831196716159539</v>
      </c>
      <c r="AH46" s="5">
        <f t="shared" si="109"/>
        <v>-42.903773950627297</v>
      </c>
      <c r="AI46" s="5">
        <f t="shared" si="109"/>
        <v>-42.977690704174293</v>
      </c>
      <c r="AJ46" s="5">
        <f t="shared" si="109"/>
        <v>-43.052882293842245</v>
      </c>
      <c r="AK46" s="5">
        <f t="shared" si="109"/>
        <v>-43.129285829158192</v>
      </c>
      <c r="AL46" s="5">
        <f t="shared" si="109"/>
        <v>-43.206840170034198</v>
      </c>
      <c r="AM46" s="5">
        <f t="shared" si="109"/>
        <v>-43.285485885580783</v>
      </c>
      <c r="AN46" s="5">
        <f t="shared" si="109"/>
        <v>-43.365165213815146</v>
      </c>
      <c r="AO46" s="5">
        <f t="shared" si="109"/>
        <v>-43.445822022245622</v>
      </c>
      <c r="AP46" s="5">
        <f t="shared" si="109"/>
        <v>-43.527401769314139</v>
      </c>
      <c r="AQ46" s="5">
        <f t="shared" si="109"/>
        <v>-43.609851466678798</v>
      </c>
      <c r="AR46" s="5">
        <f t="shared" si="109"/>
        <v>-43.693119642319211</v>
      </c>
      <c r="AS46" s="5">
        <f t="shared" si="109"/>
        <v>-43.777156304447509</v>
      </c>
      <c r="AT46" s="5">
        <f t="shared" si="109"/>
        <v>-43.861912906208019</v>
      </c>
      <c r="AU46" s="5">
        <f t="shared" si="109"/>
        <v>-43.947342311149463</v>
      </c>
      <c r="AV46" s="5">
        <f t="shared" si="109"/>
        <v>-44.033398759453384</v>
      </c>
      <c r="AW46" s="5">
        <f t="shared" si="109"/>
        <v>-44.120037834903059</v>
      </c>
      <c r="AX46" s="5">
        <f t="shared" si="109"/>
        <v>-44.20721643257761</v>
      </c>
      <c r="AY46" s="5">
        <f t="shared" si="109"/>
        <v>-44.294892727255835</v>
      </c>
      <c r="AZ46" s="5">
        <f t="shared" si="109"/>
        <v>-44.383026142515313</v>
      </c>
      <c r="BA46" s="5">
        <f t="shared" si="109"/>
        <v>-44.471577320511905</v>
      </c>
      <c r="BB46" s="5">
        <f t="shared" si="109"/>
        <v>-44.560508092425643</v>
      </c>
      <c r="BC46" s="5">
        <f t="shared" si="109"/>
        <v>-44.649781449558944</v>
      </c>
      <c r="BD46" s="5">
        <f t="shared" si="109"/>
        <v>-44.739361515073497</v>
      </c>
      <c r="BE46" s="5">
        <f t="shared" si="109"/>
        <v>-44.829213516352468</v>
      </c>
      <c r="BF46" s="5">
        <f t="shared" si="109"/>
        <v>-44.919303757974838</v>
      </c>
      <c r="BG46" s="5">
        <f t="shared" si="109"/>
        <v>-45.009599595289131</v>
      </c>
      <c r="BH46" s="5">
        <f t="shared" si="109"/>
        <v>-45.100069408573709</v>
      </c>
      <c r="BI46" s="5">
        <f t="shared" si="109"/>
        <v>-45.190682577771661</v>
      </c>
      <c r="BJ46" s="5">
        <f t="shared" si="109"/>
        <v>-45.281409457787788</v>
      </c>
      <c r="BK46" s="5">
        <f t="shared" si="109"/>
        <v>-45.372221354336233</v>
      </c>
      <c r="BL46" s="5">
        <f t="shared" si="109"/>
        <v>-45.463090500326807</v>
      </c>
      <c r="BM46" s="5">
        <f t="shared" si="109"/>
        <v>-45.553990032778948</v>
      </c>
      <c r="BN46" s="5">
        <f t="shared" si="109"/>
        <v>-45.644893970251928</v>
      </c>
      <c r="BO46" s="5">
        <f t="shared" si="109"/>
        <v>-45.735777190780624</v>
      </c>
      <c r="BP46" s="5">
        <f t="shared" si="109"/>
        <v>-45.826615410306026</v>
      </c>
      <c r="BQ46" s="5">
        <f t="shared" si="109"/>
        <v>-45.917385161590005</v>
      </c>
      <c r="BR46" s="5">
        <f t="shared" si="109"/>
        <v>-46.008063773604263</v>
      </c>
      <c r="BS46" s="5">
        <f t="shared" si="109"/>
        <v>-46.098629351383202</v>
      </c>
      <c r="BT46" s="5">
        <f t="shared" si="91"/>
        <v>-46.189060756331045</v>
      </c>
      <c r="BU46" s="5">
        <f t="shared" si="91"/>
        <v>-46.279337586973433</v>
      </c>
      <c r="BV46" s="5">
        <f t="shared" si="91"/>
        <v>-46.369440160144279</v>
      </c>
      <c r="BW46" s="5">
        <f t="shared" si="91"/>
        <v>-46.459349492598307</v>
      </c>
      <c r="BX46" s="5">
        <f t="shared" si="91"/>
        <v>-46.549047283040508</v>
      </c>
      <c r="BY46" s="5">
        <f t="shared" si="91"/>
        <v>-46.638515894563589</v>
      </c>
      <c r="BZ46" s="5">
        <f t="shared" si="91"/>
        <v>-46.727738337484546</v>
      </c>
      <c r="CA46" s="5">
        <f t="shared" ref="CA46:CX46" si="110">PV($F19,CA$9,1,0)+(PV($J$6,$K$6-CA$9,1,0)/($J$6+1)^CA$9)</f>
        <v>-46.816698252572053</v>
      </c>
      <c r="CB46" s="5">
        <f t="shared" si="110"/>
        <v>-46.905379894656313</v>
      </c>
      <c r="CC46" s="5">
        <f t="shared" si="110"/>
        <v>-46.993768116613005</v>
      </c>
      <c r="CD46" s="5">
        <f t="shared" si="110"/>
        <v>-47.081848353713617</v>
      </c>
      <c r="CE46" s="5">
        <f t="shared" si="110"/>
        <v>-47.169606608334128</v>
      </c>
      <c r="CF46" s="5">
        <f t="shared" si="110"/>
        <v>-47.257029435014452</v>
      </c>
      <c r="CG46" s="5">
        <f t="shared" si="110"/>
        <v>-47.344103925861056</v>
      </c>
      <c r="CH46" s="5">
        <f t="shared" si="110"/>
        <v>-47.430817696285544</v>
      </c>
      <c r="CI46" s="5">
        <f t="shared" si="110"/>
        <v>-47.517158871071814</v>
      </c>
      <c r="CJ46" s="5">
        <f t="shared" si="110"/>
        <v>-47.603116070764841</v>
      </c>
      <c r="CK46" s="5">
        <f t="shared" si="110"/>
        <v>-47.688678398374179</v>
      </c>
      <c r="CL46" s="5">
        <f t="shared" si="110"/>
        <v>-47.77383542638534</v>
      </c>
      <c r="CM46" s="5">
        <f t="shared" si="110"/>
        <v>-47.77383542638534</v>
      </c>
      <c r="CN46" s="5">
        <f t="shared" si="110"/>
        <v>-47.77383542638534</v>
      </c>
      <c r="CO46" s="5">
        <f t="shared" si="110"/>
        <v>-47.77383542638534</v>
      </c>
      <c r="CP46" s="5">
        <f t="shared" si="110"/>
        <v>-47.77383542638534</v>
      </c>
      <c r="CQ46" s="5">
        <f t="shared" si="110"/>
        <v>-47.77383542638534</v>
      </c>
      <c r="CR46" s="5">
        <f t="shared" si="110"/>
        <v>-47.77383542638534</v>
      </c>
      <c r="CS46" s="5">
        <f t="shared" si="110"/>
        <v>-47.77383542638534</v>
      </c>
      <c r="CT46" s="5">
        <f t="shared" si="110"/>
        <v>-47.77383542638534</v>
      </c>
      <c r="CU46" s="5">
        <f t="shared" si="110"/>
        <v>-47.77383542638534</v>
      </c>
      <c r="CV46" s="5">
        <f t="shared" si="110"/>
        <v>-47.77383542638534</v>
      </c>
      <c r="CW46" s="5">
        <f t="shared" si="110"/>
        <v>-47.77383542638534</v>
      </c>
      <c r="CX46" s="5">
        <f t="shared" si="110"/>
        <v>-47.77383542638534</v>
      </c>
      <c r="CY46" s="5">
        <f t="shared" ref="CY46:DM54" si="111">PV($F19,CY$9,1,0)+(PV($J$6,$K$6-CY$9,1,0)/($J$6+1)^CY$9)</f>
        <v>-47.77383542638534</v>
      </c>
      <c r="CZ46" s="5">
        <f t="shared" si="111"/>
        <v>-47.77383542638534</v>
      </c>
      <c r="DA46" s="5">
        <f t="shared" si="111"/>
        <v>-47.77383542638534</v>
      </c>
      <c r="DB46" s="5">
        <f t="shared" ref="DB46:DV54" si="112">PV($F19,DB$9,1,0)+(PV($J$6,$K$6-DB$9,1,0)/($J$6+1)^DB$9)</f>
        <v>-47.77383542638534</v>
      </c>
      <c r="DC46" s="5">
        <f t="shared" si="112"/>
        <v>-47.77383542638534</v>
      </c>
      <c r="DD46" s="5">
        <f t="shared" si="112"/>
        <v>-47.77383542638534</v>
      </c>
      <c r="DE46" s="5">
        <f t="shared" si="112"/>
        <v>-47.77383542638534</v>
      </c>
      <c r="DF46" s="5">
        <f t="shared" si="112"/>
        <v>-47.77383542638534</v>
      </c>
      <c r="DG46" s="5">
        <f t="shared" si="112"/>
        <v>-47.77383542638534</v>
      </c>
      <c r="DH46" s="5">
        <f t="shared" si="112"/>
        <v>-47.77383542638534</v>
      </c>
      <c r="DI46" s="5">
        <f t="shared" si="112"/>
        <v>-47.77383542638534</v>
      </c>
      <c r="DJ46" s="5">
        <f t="shared" si="112"/>
        <v>-47.77383542638534</v>
      </c>
      <c r="DK46" s="5">
        <f t="shared" si="112"/>
        <v>-47.77383542638534</v>
      </c>
      <c r="DL46" s="5">
        <f t="shared" si="112"/>
        <v>-47.77383542638534</v>
      </c>
      <c r="DM46" s="5">
        <f t="shared" si="112"/>
        <v>-47.77383542638534</v>
      </c>
      <c r="DN46" s="5">
        <f t="shared" si="112"/>
        <v>-47.77383542638534</v>
      </c>
      <c r="DO46" s="5">
        <f t="shared" si="112"/>
        <v>-47.77383542638534</v>
      </c>
      <c r="DP46" s="5">
        <f t="shared" si="112"/>
        <v>-47.77383542638534</v>
      </c>
      <c r="DQ46" s="5">
        <f t="shared" si="112"/>
        <v>-47.77383542638534</v>
      </c>
      <c r="DR46" s="5">
        <f t="shared" si="112"/>
        <v>-47.77383542638534</v>
      </c>
      <c r="DS46" s="5">
        <f t="shared" si="112"/>
        <v>-47.77383542638534</v>
      </c>
      <c r="DT46" s="5">
        <f t="shared" si="112"/>
        <v>-47.77383542638534</v>
      </c>
      <c r="DU46" s="5">
        <f t="shared" si="112"/>
        <v>-47.77383542638534</v>
      </c>
      <c r="DV46" s="5">
        <f t="shared" si="112"/>
        <v>-47.77383542638534</v>
      </c>
      <c r="DW46" s="5">
        <f t="shared" ref="DW46:ET46" si="113">PV($F19,DW$9,1,0)+(PV($J$6,$K$6-DW$9,1,0)/($J$6+1)^DW$9)</f>
        <v>-47.77383542638534</v>
      </c>
      <c r="DX46" s="5">
        <f t="shared" si="113"/>
        <v>-47.77383542638534</v>
      </c>
      <c r="DY46" s="5">
        <f t="shared" si="113"/>
        <v>-47.77383542638534</v>
      </c>
      <c r="DZ46" s="5">
        <f t="shared" si="113"/>
        <v>-47.77383542638534</v>
      </c>
      <c r="EA46" s="5">
        <f t="shared" si="113"/>
        <v>-47.77383542638534</v>
      </c>
      <c r="EB46" s="5">
        <f t="shared" si="113"/>
        <v>-47.77383542638534</v>
      </c>
      <c r="EC46" s="5">
        <f t="shared" si="113"/>
        <v>-47.77383542638534</v>
      </c>
      <c r="ED46" s="5">
        <f t="shared" si="113"/>
        <v>-47.77383542638534</v>
      </c>
      <c r="EE46" s="5">
        <f t="shared" si="113"/>
        <v>-47.77383542638534</v>
      </c>
      <c r="EF46" s="5">
        <f t="shared" si="113"/>
        <v>-47.77383542638534</v>
      </c>
      <c r="EG46" s="5">
        <f t="shared" si="113"/>
        <v>-47.77383542638534</v>
      </c>
      <c r="EH46" s="5">
        <f t="shared" si="113"/>
        <v>-47.77383542638534</v>
      </c>
      <c r="EI46" s="5">
        <f t="shared" si="113"/>
        <v>-47.77383542638534</v>
      </c>
      <c r="EJ46" s="5">
        <f t="shared" si="113"/>
        <v>-47.77383542638534</v>
      </c>
      <c r="EK46" s="5">
        <f t="shared" si="113"/>
        <v>-47.77383542638534</v>
      </c>
      <c r="EL46" s="5">
        <f t="shared" si="113"/>
        <v>-47.77383542638534</v>
      </c>
      <c r="EM46" s="5">
        <f t="shared" si="113"/>
        <v>-47.77383542638534</v>
      </c>
      <c r="EN46" s="5">
        <f t="shared" si="113"/>
        <v>-47.77383542638534</v>
      </c>
      <c r="EO46" s="5">
        <f t="shared" si="113"/>
        <v>-47.77383542638534</v>
      </c>
      <c r="EP46" s="5">
        <f t="shared" si="113"/>
        <v>-47.77383542638534</v>
      </c>
      <c r="EQ46" s="5">
        <f t="shared" si="113"/>
        <v>-47.77383542638534</v>
      </c>
      <c r="ER46" s="5">
        <f t="shared" si="113"/>
        <v>-47.77383542638534</v>
      </c>
      <c r="ES46" s="5">
        <f t="shared" si="113"/>
        <v>-47.77383542638534</v>
      </c>
      <c r="ET46" s="5">
        <f t="shared" si="113"/>
        <v>-47.77383542638534</v>
      </c>
      <c r="FF46" s="130" t="s">
        <v>197</v>
      </c>
      <c r="FG46" s="12">
        <v>2.3399999999999997E-2</v>
      </c>
      <c r="FH46" s="12">
        <v>120</v>
      </c>
      <c r="FI46" s="12">
        <v>1.84E-2</v>
      </c>
      <c r="FJ46" s="82">
        <v>1.29E-2</v>
      </c>
      <c r="FK46" s="134">
        <f t="shared" si="62"/>
        <v>5.8333333333333316E-4</v>
      </c>
      <c r="FL46">
        <f>VLOOKUP(FF46,'SIMULADOR COM SALDO'!$BF$22:$BS$268,13,FALSE)</f>
        <v>2.3399999999999997E-2</v>
      </c>
    </row>
    <row r="47" spans="5:168" hidden="1" x14ac:dyDescent="0.25">
      <c r="G47" s="5">
        <f t="shared" si="89"/>
        <v>-41.675166572765853</v>
      </c>
      <c r="H47" s="5">
        <f t="shared" si="109"/>
        <v>-41.682387576477701</v>
      </c>
      <c r="I47" s="5">
        <f t="shared" si="109"/>
        <v>-41.693035979894297</v>
      </c>
      <c r="J47" s="5">
        <f t="shared" si="109"/>
        <v>-41.706993858169717</v>
      </c>
      <c r="K47" s="5">
        <f t="shared" si="109"/>
        <v>-41.724146305663155</v>
      </c>
      <c r="L47" s="5">
        <f t="shared" si="109"/>
        <v>-41.744381367160813</v>
      </c>
      <c r="M47" s="5">
        <f t="shared" si="109"/>
        <v>-41.767589970570747</v>
      </c>
      <c r="N47" s="5">
        <f t="shared" si="109"/>
        <v>-41.793665861059942</v>
      </c>
      <c r="O47" s="5">
        <f t="shared" si="109"/>
        <v>-41.822505536604154</v>
      </c>
      <c r="P47" s="5">
        <f t="shared" si="109"/>
        <v>-41.854008184921057</v>
      </c>
      <c r="Q47" s="5">
        <f t="shared" si="109"/>
        <v>-41.888075621758489</v>
      </c>
      <c r="R47" s="5">
        <f t="shared" si="109"/>
        <v>-41.924612230509439</v>
      </c>
      <c r="S47" s="5">
        <f t="shared" si="109"/>
        <v>-41.963524903126604</v>
      </c>
      <c r="T47" s="5">
        <f t="shared" si="109"/>
        <v>-42.004722982309431</v>
      </c>
      <c r="U47" s="5">
        <f t="shared" si="109"/>
        <v>-42.048118204937502</v>
      </c>
      <c r="V47" s="5">
        <f t="shared" si="109"/>
        <v>-42.093624646724273</v>
      </c>
      <c r="W47" s="5">
        <f t="shared" si="109"/>
        <v>-42.141158668066005</v>
      </c>
      <c r="X47" s="5">
        <f t="shared" si="109"/>
        <v>-42.190638861061018</v>
      </c>
      <c r="Y47" s="5">
        <f t="shared" si="109"/>
        <v>-42.241985997675087</v>
      </c>
      <c r="Z47" s="5">
        <f t="shared" si="109"/>
        <v>-42.295122979029088</v>
      </c>
      <c r="AA47" s="5">
        <f t="shared" si="109"/>
        <v>-42.349974785785705</v>
      </c>
      <c r="AB47" s="5">
        <f t="shared" si="109"/>
        <v>-42.406468429612161</v>
      </c>
      <c r="AC47" s="5">
        <f t="shared" si="109"/>
        <v>-42.46453290569697</v>
      </c>
      <c r="AD47" s="5">
        <f t="shared" si="109"/>
        <v>-42.524099146298227</v>
      </c>
      <c r="AE47" s="5">
        <f t="shared" si="109"/>
        <v>-42.585099975302654</v>
      </c>
      <c r="AF47" s="5">
        <f t="shared" si="109"/>
        <v>-42.647470063773618</v>
      </c>
      <c r="AG47" s="5">
        <f t="shared" si="109"/>
        <v>-42.711145886468159</v>
      </c>
      <c r="AH47" s="5">
        <f t="shared" si="109"/>
        <v>-42.77606567930242</v>
      </c>
      <c r="AI47" s="5">
        <f t="shared" si="109"/>
        <v>-42.842169397745806</v>
      </c>
      <c r="AJ47" s="5">
        <f t="shared" si="109"/>
        <v>-42.909398676124511</v>
      </c>
      <c r="AK47" s="5">
        <f t="shared" si="109"/>
        <v>-42.977696787815425</v>
      </c>
      <c r="AL47" s="5">
        <f t="shared" si="109"/>
        <v>-43.047008606311728</v>
      </c>
      <c r="AM47" s="5">
        <f t="shared" si="109"/>
        <v>-43.117280567142004</v>
      </c>
      <c r="AN47" s="5">
        <f t="shared" si="109"/>
        <v>-43.188460630625066</v>
      </c>
      <c r="AO47" s="5">
        <f t="shared" si="109"/>
        <v>-43.260498245442804</v>
      </c>
      <c r="AP47" s="5">
        <f t="shared" si="109"/>
        <v>-43.33334431301418</v>
      </c>
      <c r="AQ47" s="5">
        <f t="shared" si="109"/>
        <v>-43.406951152653306</v>
      </c>
      <c r="AR47" s="5">
        <f t="shared" si="109"/>
        <v>-43.481272467495359</v>
      </c>
      <c r="AS47" s="5">
        <f t="shared" si="109"/>
        <v>-43.556263311174128</v>
      </c>
      <c r="AT47" s="5">
        <f t="shared" si="109"/>
        <v>-43.631880055235314</v>
      </c>
      <c r="AU47" s="5">
        <f t="shared" si="109"/>
        <v>-43.70808035727039</v>
      </c>
      <c r="AV47" s="5">
        <f t="shared" si="109"/>
        <v>-43.784823129755438</v>
      </c>
      <c r="AW47" s="5">
        <f t="shared" si="109"/>
        <v>-43.862068509580624</v>
      </c>
      <c r="AX47" s="5">
        <f t="shared" si="109"/>
        <v>-43.93977782825533</v>
      </c>
      <c r="AY47" s="5">
        <f t="shared" si="109"/>
        <v>-44.017913582774952</v>
      </c>
      <c r="AZ47" s="5">
        <f t="shared" si="109"/>
        <v>-44.096439407135293</v>
      </c>
      <c r="BA47" s="5">
        <f t="shared" si="109"/>
        <v>-44.175320044481026</v>
      </c>
      <c r="BB47" s="5">
        <f t="shared" si="109"/>
        <v>-44.254521319874598</v>
      </c>
      <c r="BC47" s="5">
        <f t="shared" si="109"/>
        <v>-44.334010113672676</v>
      </c>
      <c r="BD47" s="5">
        <f t="shared" si="109"/>
        <v>-44.41375433549721</v>
      </c>
      <c r="BE47" s="5">
        <f t="shared" si="109"/>
        <v>-44.493722898788484</v>
      </c>
      <c r="BF47" s="5">
        <f t="shared" si="109"/>
        <v>-44.57388569592792</v>
      </c>
      <c r="BG47" s="5">
        <f t="shared" si="109"/>
        <v>-44.654213573918454</v>
      </c>
      <c r="BH47" s="5">
        <f t="shared" si="109"/>
        <v>-44.73467831061074</v>
      </c>
      <c r="BI47" s="5">
        <f t="shared" si="109"/>
        <v>-44.815252591463576</v>
      </c>
      <c r="BJ47" s="5">
        <f t="shared" si="109"/>
        <v>-44.895909986827114</v>
      </c>
      <c r="BK47" s="5">
        <f t="shared" si="109"/>
        <v>-44.976624929738001</v>
      </c>
      <c r="BL47" s="5">
        <f t="shared" si="109"/>
        <v>-45.057372694215104</v>
      </c>
      <c r="BM47" s="5">
        <f t="shared" si="109"/>
        <v>-45.138129374045754</v>
      </c>
      <c r="BN47" s="5">
        <f t="shared" si="109"/>
        <v>-45.218871862051429</v>
      </c>
      <c r="BO47" s="5">
        <f t="shared" si="109"/>
        <v>-45.299577829823221</v>
      </c>
      <c r="BP47" s="5">
        <f t="shared" si="109"/>
        <v>-45.380225707916665</v>
      </c>
      <c r="BQ47" s="5">
        <f t="shared" si="109"/>
        <v>-45.460794666496241</v>
      </c>
      <c r="BR47" s="5">
        <f t="shared" si="109"/>
        <v>-45.54126459642012</v>
      </c>
      <c r="BS47" s="5">
        <f t="shared" si="109"/>
        <v>-45.621616090755339</v>
      </c>
      <c r="BT47" s="5">
        <f t="shared" ref="BT47:CX55" si="114">PV($F20,BT$9,1,0)+(PV($J$6,$K$6-BT$9,1,0)/($J$6+1)^BT$9)</f>
        <v>-45.701830426714636</v>
      </c>
      <c r="BU47" s="5">
        <f t="shared" si="114"/>
        <v>-45.781889548005594</v>
      </c>
      <c r="BV47" s="5">
        <f t="shared" si="114"/>
        <v>-45.861776047583362</v>
      </c>
      <c r="BW47" s="5">
        <f t="shared" si="114"/>
        <v>-45.941473150798373</v>
      </c>
      <c r="BX47" s="5">
        <f t="shared" si="114"/>
        <v>-46.020964698930342</v>
      </c>
      <c r="BY47" s="5">
        <f t="shared" si="114"/>
        <v>-46.100235133100583</v>
      </c>
      <c r="BZ47" s="5">
        <f t="shared" si="114"/>
        <v>-46.179269478554176</v>
      </c>
      <c r="CA47" s="5">
        <f t="shared" si="114"/>
        <v>-46.258053329304239</v>
      </c>
      <c r="CB47" s="5">
        <f t="shared" si="114"/>
        <v>-46.336572833130326</v>
      </c>
      <c r="CC47" s="5">
        <f t="shared" si="114"/>
        <v>-46.414814676923577</v>
      </c>
      <c r="CD47" s="5">
        <f t="shared" si="114"/>
        <v>-46.492766072370799</v>
      </c>
      <c r="CE47" s="5">
        <f t="shared" si="114"/>
        <v>-46.57041474197041</v>
      </c>
      <c r="CF47" s="5">
        <f t="shared" si="114"/>
        <v>-46.647748905373035</v>
      </c>
      <c r="CG47" s="5">
        <f t="shared" si="114"/>
        <v>-46.724757266039568</v>
      </c>
      <c r="CH47" s="5">
        <f t="shared" si="114"/>
        <v>-46.801428998209964</v>
      </c>
      <c r="CI47" s="5">
        <f t="shared" si="114"/>
        <v>-46.877753734176061</v>
      </c>
      <c r="CJ47" s="5">
        <f t="shared" si="114"/>
        <v>-46.9537215518517</v>
      </c>
      <c r="CK47" s="5">
        <f t="shared" si="114"/>
        <v>-47.029322962633749</v>
      </c>
      <c r="CL47" s="5">
        <f t="shared" si="114"/>
        <v>-47.104548899547716</v>
      </c>
      <c r="CM47" s="5">
        <f t="shared" si="114"/>
        <v>-47.104548899547716</v>
      </c>
      <c r="CN47" s="5">
        <f t="shared" si="114"/>
        <v>-47.104548899547716</v>
      </c>
      <c r="CO47" s="5">
        <f t="shared" si="114"/>
        <v>-47.104548899547716</v>
      </c>
      <c r="CP47" s="5">
        <f t="shared" si="114"/>
        <v>-47.104548899547716</v>
      </c>
      <c r="CQ47" s="5">
        <f t="shared" si="114"/>
        <v>-47.104548899547716</v>
      </c>
      <c r="CR47" s="5">
        <f t="shared" si="114"/>
        <v>-47.104548899547716</v>
      </c>
      <c r="CS47" s="5">
        <f t="shared" si="114"/>
        <v>-47.104548899547716</v>
      </c>
      <c r="CT47" s="5">
        <f t="shared" si="114"/>
        <v>-47.104548899547716</v>
      </c>
      <c r="CU47" s="5">
        <f t="shared" si="114"/>
        <v>-47.104548899547716</v>
      </c>
      <c r="CV47" s="5">
        <f t="shared" si="114"/>
        <v>-47.104548899547716</v>
      </c>
      <c r="CW47" s="5">
        <f t="shared" si="114"/>
        <v>-47.104548899547716</v>
      </c>
      <c r="CX47" s="5">
        <f t="shared" si="114"/>
        <v>-47.104548899547716</v>
      </c>
      <c r="CY47" s="5">
        <f t="shared" si="111"/>
        <v>-47.104548899547716</v>
      </c>
      <c r="CZ47" s="5">
        <f t="shared" si="111"/>
        <v>-47.104548899547716</v>
      </c>
      <c r="DA47" s="5">
        <f t="shared" si="111"/>
        <v>-47.104548899547716</v>
      </c>
      <c r="DB47" s="5">
        <f t="shared" ref="DB47:DC47" si="115">PV($F20,DB$9,1,0)+(PV($J$6,$K$6-DB$9,1,0)/($J$6+1)^DB$9)</f>
        <v>-47.104548899547716</v>
      </c>
      <c r="DC47" s="5">
        <f t="shared" si="115"/>
        <v>-47.104548899547716</v>
      </c>
      <c r="DD47" s="5">
        <f t="shared" si="111"/>
        <v>-47.104548899547716</v>
      </c>
      <c r="DE47" s="5">
        <f t="shared" ref="DE47:DF47" si="116">PV($F20,DE$9,1,0)+(PV($J$6,$K$6-DE$9,1,0)/($J$6+1)^DE$9)</f>
        <v>-47.104548899547716</v>
      </c>
      <c r="DF47" s="5">
        <f t="shared" si="116"/>
        <v>-47.104548899547716</v>
      </c>
      <c r="DG47" s="5">
        <f t="shared" si="111"/>
        <v>-47.104548899547716</v>
      </c>
      <c r="DH47" s="5">
        <f t="shared" ref="DH47:DI47" si="117">PV($F20,DH$9,1,0)+(PV($J$6,$K$6-DH$9,1,0)/($J$6+1)^DH$9)</f>
        <v>-47.104548899547716</v>
      </c>
      <c r="DI47" s="5">
        <f t="shared" si="117"/>
        <v>-47.104548899547716</v>
      </c>
      <c r="DJ47" s="5">
        <f t="shared" si="111"/>
        <v>-47.104548899547716</v>
      </c>
      <c r="DK47" s="5">
        <f t="shared" ref="DK47:DL47" si="118">PV($F20,DK$9,1,0)+(PV($J$6,$K$6-DK$9,1,0)/($J$6+1)^DK$9)</f>
        <v>-47.104548899547716</v>
      </c>
      <c r="DL47" s="5">
        <f t="shared" si="118"/>
        <v>-47.104548899547716</v>
      </c>
      <c r="DM47" s="5">
        <f t="shared" si="111"/>
        <v>-47.104548899547716</v>
      </c>
      <c r="DN47" s="5">
        <f t="shared" ref="DN47:DO47" si="119">PV($F20,DN$9,1,0)+(PV($J$6,$K$6-DN$9,1,0)/($J$6+1)^DN$9)</f>
        <v>-47.104548899547716</v>
      </c>
      <c r="DO47" s="5">
        <f t="shared" si="119"/>
        <v>-47.104548899547716</v>
      </c>
      <c r="DP47" s="5">
        <f t="shared" si="112"/>
        <v>-47.104548899547716</v>
      </c>
      <c r="DQ47" s="5">
        <f t="shared" si="112"/>
        <v>-47.104548899547716</v>
      </c>
      <c r="DR47" s="5">
        <f t="shared" si="112"/>
        <v>-47.104548899547716</v>
      </c>
      <c r="DS47" s="5">
        <f t="shared" si="112"/>
        <v>-47.104548899547716</v>
      </c>
      <c r="DT47" s="5">
        <f t="shared" si="112"/>
        <v>-47.104548899547716</v>
      </c>
      <c r="DU47" s="5">
        <f t="shared" si="112"/>
        <v>-47.104548899547716</v>
      </c>
      <c r="DV47" s="5">
        <f t="shared" si="112"/>
        <v>-47.104548899547716</v>
      </c>
      <c r="DW47" s="5">
        <f t="shared" ref="DW47:ET47" si="120">PV($F20,DW$9,1,0)+(PV($J$6,$K$6-DW$9,1,0)/($J$6+1)^DW$9)</f>
        <v>-47.104548899547716</v>
      </c>
      <c r="DX47" s="5">
        <f t="shared" si="120"/>
        <v>-47.104548899547716</v>
      </c>
      <c r="DY47" s="5">
        <f t="shared" si="120"/>
        <v>-47.104548899547716</v>
      </c>
      <c r="DZ47" s="5">
        <f t="shared" si="120"/>
        <v>-47.104548899547716</v>
      </c>
      <c r="EA47" s="5">
        <f t="shared" si="120"/>
        <v>-47.104548899547716</v>
      </c>
      <c r="EB47" s="5">
        <f t="shared" si="120"/>
        <v>-47.104548899547716</v>
      </c>
      <c r="EC47" s="5">
        <f t="shared" si="120"/>
        <v>-47.104548899547716</v>
      </c>
      <c r="ED47" s="5">
        <f t="shared" si="120"/>
        <v>-47.104548899547716</v>
      </c>
      <c r="EE47" s="5">
        <f t="shared" si="120"/>
        <v>-47.104548899547716</v>
      </c>
      <c r="EF47" s="5">
        <f t="shared" si="120"/>
        <v>-47.104548899547716</v>
      </c>
      <c r="EG47" s="5">
        <f t="shared" si="120"/>
        <v>-47.104548899547716</v>
      </c>
      <c r="EH47" s="5">
        <f t="shared" si="120"/>
        <v>-47.104548899547716</v>
      </c>
      <c r="EI47" s="5">
        <f t="shared" si="120"/>
        <v>-47.104548899547716</v>
      </c>
      <c r="EJ47" s="5">
        <f t="shared" si="120"/>
        <v>-47.104548899547716</v>
      </c>
      <c r="EK47" s="5">
        <f t="shared" si="120"/>
        <v>-47.104548899547716</v>
      </c>
      <c r="EL47" s="5">
        <f t="shared" si="120"/>
        <v>-47.104548899547716</v>
      </c>
      <c r="EM47" s="5">
        <f t="shared" si="120"/>
        <v>-47.104548899547716</v>
      </c>
      <c r="EN47" s="5">
        <f t="shared" si="120"/>
        <v>-47.104548899547716</v>
      </c>
      <c r="EO47" s="5">
        <f t="shared" si="120"/>
        <v>-47.104548899547716</v>
      </c>
      <c r="EP47" s="5">
        <f t="shared" si="120"/>
        <v>-47.104548899547716</v>
      </c>
      <c r="EQ47" s="5">
        <f t="shared" si="120"/>
        <v>-47.104548899547716</v>
      </c>
      <c r="ER47" s="5">
        <f t="shared" si="120"/>
        <v>-47.104548899547716</v>
      </c>
      <c r="ES47" s="5">
        <f t="shared" si="120"/>
        <v>-47.104548899547716</v>
      </c>
      <c r="ET47" s="5">
        <f t="shared" si="120"/>
        <v>-47.104548899547716</v>
      </c>
      <c r="FF47" s="130" t="s">
        <v>202</v>
      </c>
      <c r="FG47" s="12">
        <v>2.4500000000000001E-2</v>
      </c>
      <c r="FH47" s="12">
        <v>96</v>
      </c>
      <c r="FI47" s="12">
        <v>2.4500000000000001E-2</v>
      </c>
      <c r="FJ47" s="82">
        <v>2.2000000000000002E-2</v>
      </c>
      <c r="FK47" s="134">
        <f t="shared" si="62"/>
        <v>1.3888888888888881E-4</v>
      </c>
      <c r="FL47">
        <f>VLOOKUP(FF47,'SIMULADOR COM SALDO'!$BF$22:$BS$268,13,FALSE)</f>
        <v>2.4500000000000001E-2</v>
      </c>
    </row>
    <row r="48" spans="5:168" hidden="1" x14ac:dyDescent="0.25">
      <c r="G48" s="5">
        <f t="shared" si="89"/>
        <v>-41.674757150227194</v>
      </c>
      <c r="H48" s="5">
        <f t="shared" si="109"/>
        <v>-41.681171816023337</v>
      </c>
      <c r="I48" s="5">
        <f t="shared" si="109"/>
        <v>-41.690629186737283</v>
      </c>
      <c r="J48" s="5">
        <f t="shared" si="109"/>
        <v>-41.703023277378534</v>
      </c>
      <c r="K48" s="5">
        <f t="shared" si="109"/>
        <v>-41.718250847152483</v>
      </c>
      <c r="L48" s="5">
        <f t="shared" si="109"/>
        <v>-41.736211336298325</v>
      </c>
      <c r="M48" s="5">
        <f t="shared" si="109"/>
        <v>-41.756806804292431</v>
      </c>
      <c r="N48" s="5">
        <f t="shared" si="109"/>
        <v>-41.77994186938863</v>
      </c>
      <c r="O48" s="5">
        <f t="shared" si="109"/>
        <v>-41.805523649467659</v>
      </c>
      <c r="P48" s="5">
        <f t="shared" si="109"/>
        <v>-41.833461704168421</v>
      </c>
      <c r="Q48" s="5">
        <f t="shared" si="109"/>
        <v>-41.8636679782744</v>
      </c>
      <c r="R48" s="5">
        <f t="shared" si="109"/>
        <v>-41.896056746329208</v>
      </c>
      <c r="S48" s="5">
        <f t="shared" si="109"/>
        <v>-41.930544558455381</v>
      </c>
      <c r="T48" s="5">
        <f t="shared" si="109"/>
        <v>-41.96705018735139</v>
      </c>
      <c r="U48" s="5">
        <f t="shared" si="109"/>
        <v>-42.005494576442437</v>
      </c>
      <c r="V48" s="5">
        <f t="shared" si="109"/>
        <v>-42.045800789160644</v>
      </c>
      <c r="W48" s="5">
        <f t="shared" si="109"/>
        <v>-42.087893959331403</v>
      </c>
      <c r="X48" s="5">
        <f t="shared" si="109"/>
        <v>-42.13170124264218</v>
      </c>
      <c r="Y48" s="5">
        <f t="shared" si="109"/>
        <v>-42.177151769171871</v>
      </c>
      <c r="Z48" s="5">
        <f t="shared" si="109"/>
        <v>-42.224176596957719</v>
      </c>
      <c r="AA48" s="5">
        <f t="shared" si="109"/>
        <v>-42.272708666578737</v>
      </c>
      <c r="AB48" s="5">
        <f t="shared" si="109"/>
        <v>-42.322682756733798</v>
      </c>
      <c r="AC48" s="5">
        <f t="shared" si="109"/>
        <v>-42.374035440793833</v>
      </c>
      <c r="AD48" s="5">
        <f t="shared" si="109"/>
        <v>-42.426705044307667</v>
      </c>
      <c r="AE48" s="5">
        <f t="shared" si="109"/>
        <v>-42.480631603441267</v>
      </c>
      <c r="AF48" s="5">
        <f t="shared" si="109"/>
        <v>-42.535756824331024</v>
      </c>
      <c r="AG48" s="5">
        <f t="shared" si="109"/>
        <v>-42.592024043331648</v>
      </c>
      <c r="AH48" s="5">
        <f t="shared" si="109"/>
        <v>-42.649378188140069</v>
      </c>
      <c r="AI48" s="5">
        <f t="shared" si="109"/>
        <v>-42.707765739776718</v>
      </c>
      <c r="AJ48" s="5">
        <f t="shared" si="109"/>
        <v>-42.767134695406085</v>
      </c>
      <c r="AK48" s="5">
        <f t="shared" si="109"/>
        <v>-42.827434531979193</v>
      </c>
      <c r="AL48" s="5">
        <f t="shared" si="109"/>
        <v>-42.888616170680152</v>
      </c>
      <c r="AM48" s="5">
        <f t="shared" si="109"/>
        <v>-42.950631942160356</v>
      </c>
      <c r="AN48" s="5">
        <f t="shared" si="109"/>
        <v>-43.013435552543143</v>
      </c>
      <c r="AO48" s="5">
        <f t="shared" si="109"/>
        <v>-43.076982050183169</v>
      </c>
      <c r="AP48" s="5">
        <f t="shared" si="109"/>
        <v>-43.141227793164077</v>
      </c>
      <c r="AQ48" s="5">
        <f t="shared" si="109"/>
        <v>-43.206130417519169</v>
      </c>
      <c r="AR48" s="5">
        <f t="shared" si="109"/>
        <v>-43.27164880615954</v>
      </c>
      <c r="AS48" s="5">
        <f t="shared" si="109"/>
        <v>-43.337743058494858</v>
      </c>
      <c r="AT48" s="5">
        <f t="shared" si="109"/>
        <v>-43.404374460731944</v>
      </c>
      <c r="AU48" s="5">
        <f t="shared" si="109"/>
        <v>-43.471505456836944</v>
      </c>
      <c r="AV48" s="5">
        <f t="shared" si="109"/>
        <v>-43.5390996201468</v>
      </c>
      <c r="AW48" s="5">
        <f t="shared" si="109"/>
        <v>-43.607121625616408</v>
      </c>
      <c r="AX48" s="5">
        <f t="shared" si="109"/>
        <v>-43.675537222687822</v>
      </c>
      <c r="AY48" s="5">
        <f t="shared" si="109"/>
        <v>-43.744313208768368</v>
      </c>
      <c r="AZ48" s="5">
        <f t="shared" si="109"/>
        <v>-43.813417403304541</v>
      </c>
      <c r="BA48" s="5">
        <f t="shared" si="109"/>
        <v>-43.882818622439231</v>
      </c>
      <c r="BB48" s="5">
        <f t="shared" si="109"/>
        <v>-43.9524866542396</v>
      </c>
      <c r="BC48" s="5">
        <f t="shared" si="109"/>
        <v>-44.022392234483576</v>
      </c>
      <c r="BD48" s="5">
        <f t="shared" si="109"/>
        <v>-44.092507022992976</v>
      </c>
      <c r="BE48" s="5">
        <f t="shared" si="109"/>
        <v>-44.162803580501638</v>
      </c>
      <c r="BF48" s="5">
        <f t="shared" si="109"/>
        <v>-44.233255346047017</v>
      </c>
      <c r="BG48" s="5">
        <f t="shared" si="109"/>
        <v>-44.30383661487415</v>
      </c>
      <c r="BH48" s="5">
        <f t="shared" si="109"/>
        <v>-44.374522516840941</v>
      </c>
      <c r="BI48" s="5">
        <f t="shared" si="109"/>
        <v>-44.445288995314044</v>
      </c>
      <c r="BJ48" s="5">
        <f t="shared" si="109"/>
        <v>-44.516112786544809</v>
      </c>
      <c r="BK48" s="5">
        <f t="shared" si="109"/>
        <v>-44.5869713995151</v>
      </c>
      <c r="BL48" s="5">
        <f t="shared" si="109"/>
        <v>-44.657843096242601</v>
      </c>
      <c r="BM48" s="5">
        <f t="shared" si="109"/>
        <v>-44.728706872536101</v>
      </c>
      <c r="BN48" s="5">
        <f t="shared" si="109"/>
        <v>-44.799542439190766</v>
      </c>
      <c r="BO48" s="5">
        <f t="shared" si="109"/>
        <v>-44.870330203614138</v>
      </c>
      <c r="BP48" s="5">
        <f t="shared" si="109"/>
        <v>-44.941051251873411</v>
      </c>
      <c r="BQ48" s="5">
        <f t="shared" si="109"/>
        <v>-45.011687331155009</v>
      </c>
      <c r="BR48" s="5">
        <f t="shared" si="109"/>
        <v>-45.08222083262757</v>
      </c>
      <c r="BS48" s="5">
        <f t="shared" si="109"/>
        <v>-45.152634774699493</v>
      </c>
      <c r="BT48" s="5">
        <f t="shared" si="114"/>
        <v>-45.222912786662654</v>
      </c>
      <c r="BU48" s="5">
        <f t="shared" si="114"/>
        <v>-45.29303909271394</v>
      </c>
      <c r="BV48" s="5">
        <f t="shared" si="114"/>
        <v>-45.362998496346208</v>
      </c>
      <c r="BW48" s="5">
        <f t="shared" si="114"/>
        <v>-45.432776365100985</v>
      </c>
      <c r="BX48" s="5">
        <f t="shared" si="114"/>
        <v>-45.502358615674744</v>
      </c>
      <c r="BY48" s="5">
        <f t="shared" si="114"/>
        <v>-45.571731699371355</v>
      </c>
      <c r="BZ48" s="5">
        <f t="shared" si="114"/>
        <v>-45.640882587892904</v>
      </c>
      <c r="CA48" s="5">
        <f t="shared" si="114"/>
        <v>-45.709798759461854</v>
      </c>
      <c r="CB48" s="5">
        <f t="shared" si="114"/>
        <v>-45.778468185266917</v>
      </c>
      <c r="CC48" s="5">
        <f t="shared" si="114"/>
        <v>-45.846879316226087</v>
      </c>
      <c r="CD48" s="5">
        <f t="shared" si="114"/>
        <v>-45.91502107005936</v>
      </c>
      <c r="CE48" s="5">
        <f t="shared" si="114"/>
        <v>-45.982882818664926</v>
      </c>
      <c r="CF48" s="5">
        <f t="shared" si="114"/>
        <v>-46.050454375791716</v>
      </c>
      <c r="CG48" s="5">
        <f t="shared" si="114"/>
        <v>-46.117725985002238</v>
      </c>
      <c r="CH48" s="5">
        <f t="shared" si="114"/>
        <v>-46.184688307918975</v>
      </c>
      <c r="CI48" s="5">
        <f t="shared" si="114"/>
        <v>-46.251332412748425</v>
      </c>
      <c r="CJ48" s="5">
        <f t="shared" si="114"/>
        <v>-46.317649763076588</v>
      </c>
      <c r="CK48" s="5">
        <f t="shared" si="114"/>
        <v>-46.383632206929832</v>
      </c>
      <c r="CL48" s="5">
        <f t="shared" si="114"/>
        <v>-46.449271966095488</v>
      </c>
      <c r="CM48" s="5">
        <f t="shared" si="114"/>
        <v>-46.449271966095488</v>
      </c>
      <c r="CN48" s="5">
        <f t="shared" si="114"/>
        <v>-46.449271966095488</v>
      </c>
      <c r="CO48" s="5">
        <f t="shared" si="114"/>
        <v>-46.449271966095488</v>
      </c>
      <c r="CP48" s="5">
        <f t="shared" si="114"/>
        <v>-46.449271966095488</v>
      </c>
      <c r="CQ48" s="5">
        <f t="shared" si="114"/>
        <v>-46.449271966095488</v>
      </c>
      <c r="CR48" s="5">
        <f t="shared" si="114"/>
        <v>-46.449271966095488</v>
      </c>
      <c r="CS48" s="5">
        <f t="shared" si="114"/>
        <v>-46.449271966095488</v>
      </c>
      <c r="CT48" s="5">
        <f t="shared" si="114"/>
        <v>-46.449271966095488</v>
      </c>
      <c r="CU48" s="5">
        <f t="shared" si="114"/>
        <v>-46.449271966095488</v>
      </c>
      <c r="CV48" s="5">
        <f t="shared" si="114"/>
        <v>-46.449271966095488</v>
      </c>
      <c r="CW48" s="5">
        <f t="shared" si="114"/>
        <v>-46.449271966095488</v>
      </c>
      <c r="CX48" s="5">
        <f t="shared" si="114"/>
        <v>-46.449271966095488</v>
      </c>
      <c r="CY48" s="5">
        <f t="shared" si="111"/>
        <v>-46.449271966095488</v>
      </c>
      <c r="CZ48" s="5">
        <f t="shared" si="111"/>
        <v>-46.449271966095488</v>
      </c>
      <c r="DA48" s="5">
        <f t="shared" si="111"/>
        <v>-46.449271966095488</v>
      </c>
      <c r="DB48" s="5">
        <f t="shared" ref="DB48:DC48" si="121">PV($F21,DB$9,1,0)+(PV($J$6,$K$6-DB$9,1,0)/($J$6+1)^DB$9)</f>
        <v>-46.449271966095488</v>
      </c>
      <c r="DC48" s="5">
        <f t="shared" si="121"/>
        <v>-46.449271966095488</v>
      </c>
      <c r="DD48" s="5">
        <f t="shared" si="111"/>
        <v>-46.449271966095488</v>
      </c>
      <c r="DE48" s="5">
        <f t="shared" ref="DE48:DF48" si="122">PV($F21,DE$9,1,0)+(PV($J$6,$K$6-DE$9,1,0)/($J$6+1)^DE$9)</f>
        <v>-46.449271966095488</v>
      </c>
      <c r="DF48" s="5">
        <f t="shared" si="122"/>
        <v>-46.449271966095488</v>
      </c>
      <c r="DG48" s="5">
        <f t="shared" si="111"/>
        <v>-46.449271966095488</v>
      </c>
      <c r="DH48" s="5">
        <f t="shared" ref="DH48:DI48" si="123">PV($F21,DH$9,1,0)+(PV($J$6,$K$6-DH$9,1,0)/($J$6+1)^DH$9)</f>
        <v>-46.449271966095488</v>
      </c>
      <c r="DI48" s="5">
        <f t="shared" si="123"/>
        <v>-46.449271966095488</v>
      </c>
      <c r="DJ48" s="5">
        <f t="shared" si="111"/>
        <v>-46.449271966095488</v>
      </c>
      <c r="DK48" s="5">
        <f t="shared" ref="DK48:DL48" si="124">PV($F21,DK$9,1,0)+(PV($J$6,$K$6-DK$9,1,0)/($J$6+1)^DK$9)</f>
        <v>-46.449271966095488</v>
      </c>
      <c r="DL48" s="5">
        <f t="shared" si="124"/>
        <v>-46.449271966095488</v>
      </c>
      <c r="DM48" s="5">
        <f t="shared" si="111"/>
        <v>-46.449271966095488</v>
      </c>
      <c r="DN48" s="5">
        <f t="shared" ref="DN48:DO48" si="125">PV($F21,DN$9,1,0)+(PV($J$6,$K$6-DN$9,1,0)/($J$6+1)^DN$9)</f>
        <v>-46.449271966095488</v>
      </c>
      <c r="DO48" s="5">
        <f t="shared" si="125"/>
        <v>-46.449271966095488</v>
      </c>
      <c r="DP48" s="5">
        <f t="shared" si="112"/>
        <v>-46.449271966095488</v>
      </c>
      <c r="DQ48" s="5">
        <f t="shared" si="112"/>
        <v>-46.449271966095488</v>
      </c>
      <c r="DR48" s="5">
        <f t="shared" si="112"/>
        <v>-46.449271966095488</v>
      </c>
      <c r="DS48" s="5">
        <f t="shared" si="112"/>
        <v>-46.449271966095488</v>
      </c>
      <c r="DT48" s="5">
        <f t="shared" si="112"/>
        <v>-46.449271966095488</v>
      </c>
      <c r="DU48" s="5">
        <f t="shared" si="112"/>
        <v>-46.449271966095488</v>
      </c>
      <c r="DV48" s="5">
        <f t="shared" si="112"/>
        <v>-46.449271966095488</v>
      </c>
      <c r="DW48" s="5">
        <f t="shared" ref="DW48:ET48" si="126">PV($F21,DW$9,1,0)+(PV($J$6,$K$6-DW$9,1,0)/($J$6+1)^DW$9)</f>
        <v>-46.449271966095488</v>
      </c>
      <c r="DX48" s="5">
        <f t="shared" si="126"/>
        <v>-46.449271966095488</v>
      </c>
      <c r="DY48" s="5">
        <f t="shared" si="126"/>
        <v>-46.449271966095488</v>
      </c>
      <c r="DZ48" s="5">
        <f t="shared" si="126"/>
        <v>-46.449271966095488</v>
      </c>
      <c r="EA48" s="5">
        <f t="shared" si="126"/>
        <v>-46.449271966095488</v>
      </c>
      <c r="EB48" s="5">
        <f t="shared" si="126"/>
        <v>-46.449271966095488</v>
      </c>
      <c r="EC48" s="5">
        <f t="shared" si="126"/>
        <v>-46.449271966095488</v>
      </c>
      <c r="ED48" s="5">
        <f t="shared" si="126"/>
        <v>-46.449271966095488</v>
      </c>
      <c r="EE48" s="5">
        <f t="shared" si="126"/>
        <v>-46.449271966095488</v>
      </c>
      <c r="EF48" s="5">
        <f t="shared" si="126"/>
        <v>-46.449271966095488</v>
      </c>
      <c r="EG48" s="5">
        <f t="shared" si="126"/>
        <v>-46.449271966095488</v>
      </c>
      <c r="EH48" s="5">
        <f t="shared" si="126"/>
        <v>-46.449271966095488</v>
      </c>
      <c r="EI48" s="5">
        <f t="shared" si="126"/>
        <v>-46.449271966095488</v>
      </c>
      <c r="EJ48" s="5">
        <f t="shared" si="126"/>
        <v>-46.449271966095488</v>
      </c>
      <c r="EK48" s="5">
        <f t="shared" si="126"/>
        <v>-46.449271966095488</v>
      </c>
      <c r="EL48" s="5">
        <f t="shared" si="126"/>
        <v>-46.449271966095488</v>
      </c>
      <c r="EM48" s="5">
        <f t="shared" si="126"/>
        <v>-46.449271966095488</v>
      </c>
      <c r="EN48" s="5">
        <f t="shared" si="126"/>
        <v>-46.449271966095488</v>
      </c>
      <c r="EO48" s="5">
        <f t="shared" si="126"/>
        <v>-46.449271966095488</v>
      </c>
      <c r="EP48" s="5">
        <f t="shared" si="126"/>
        <v>-46.449271966095488</v>
      </c>
      <c r="EQ48" s="5">
        <f t="shared" si="126"/>
        <v>-46.449271966095488</v>
      </c>
      <c r="ER48" s="5">
        <f t="shared" si="126"/>
        <v>-46.449271966095488</v>
      </c>
      <c r="ES48" s="5">
        <f t="shared" si="126"/>
        <v>-46.449271966095488</v>
      </c>
      <c r="ET48" s="5">
        <f t="shared" si="126"/>
        <v>-46.449271966095488</v>
      </c>
      <c r="FF48" s="130" t="s">
        <v>204</v>
      </c>
      <c r="FG48" s="12">
        <v>2.6000000000000002E-2</v>
      </c>
      <c r="FH48" s="12">
        <v>120</v>
      </c>
      <c r="FI48" s="12">
        <v>2.1499999999999998E-2</v>
      </c>
      <c r="FJ48" s="82">
        <v>1.9E-2</v>
      </c>
      <c r="FK48" s="134">
        <f t="shared" si="62"/>
        <v>3.8888888888888903E-4</v>
      </c>
      <c r="FL48">
        <f>VLOOKUP(FF48,'SIMULADOR COM SALDO'!$BF$22:$BS$268,13,FALSE)</f>
        <v>2.6000000000000002E-2</v>
      </c>
    </row>
    <row r="49" spans="7:168" hidden="1" x14ac:dyDescent="0.25">
      <c r="G49" s="5">
        <f t="shared" si="89"/>
        <v>-41.674348067930126</v>
      </c>
      <c r="H49" s="5">
        <f t="shared" si="109"/>
        <v>-41.67995740073578</v>
      </c>
      <c r="I49" s="5">
        <f t="shared" si="109"/>
        <v>-41.688225717487562</v>
      </c>
      <c r="J49" s="5">
        <f t="shared" si="109"/>
        <v>-41.699059267348268</v>
      </c>
      <c r="K49" s="5">
        <f t="shared" si="109"/>
        <v>-41.712366754297733</v>
      </c>
      <c r="L49" s="5">
        <f t="shared" si="109"/>
        <v>-41.728059280038963</v>
      </c>
      <c r="M49" s="5">
        <f t="shared" si="109"/>
        <v>-41.746050288150464</v>
      </c>
      <c r="N49" s="5">
        <f t="shared" si="109"/>
        <v>-41.766255509458652</v>
      </c>
      <c r="O49" s="5">
        <f t="shared" si="109"/>
        <v>-41.788592908604613</v>
      </c>
      <c r="P49" s="5">
        <f t="shared" si="109"/>
        <v>-41.812982631780152</v>
      </c>
      <c r="Q49" s="5">
        <f t="shared" si="109"/>
        <v>-41.839346955608647</v>
      </c>
      <c r="R49" s="5">
        <f t="shared" si="109"/>
        <v>-41.867610237146536</v>
      </c>
      <c r="S49" s="5">
        <f t="shared" si="109"/>
        <v>-41.897698864981791</v>
      </c>
      <c r="T49" s="5">
        <f t="shared" si="109"/>
        <v>-41.929541211406445</v>
      </c>
      <c r="U49" s="5">
        <f t="shared" si="109"/>
        <v>-41.963067585640431</v>
      </c>
      <c r="V49" s="5">
        <f t="shared" si="109"/>
        <v>-41.998210188084542</v>
      </c>
      <c r="W49" s="5">
        <f t="shared" si="109"/>
        <v>-42.034903065580899</v>
      </c>
      <c r="X49" s="5">
        <f t="shared" si="109"/>
        <v>-42.073082067659556</v>
      </c>
      <c r="Y49" s="5">
        <f t="shared" si="109"/>
        <v>-42.112684803750511</v>
      </c>
      <c r="Z49" s="5">
        <f t="shared" si="109"/>
        <v>-42.153650601340672</v>
      </c>
      <c r="AA49" s="5">
        <f t="shared" si="109"/>
        <v>-42.195920465055721</v>
      </c>
      <c r="AB49" s="5">
        <f t="shared" si="109"/>
        <v>-42.239437036647494</v>
      </c>
      <c r="AC49" s="5">
        <f t="shared" si="109"/>
        <v>-42.284144555867528</v>
      </c>
      <c r="AD49" s="5">
        <f t="shared" si="109"/>
        <v>-42.329988822208051</v>
      </c>
      <c r="AE49" s="5">
        <f t="shared" si="109"/>
        <v>-42.376917157492088</v>
      </c>
      <c r="AF49" s="5">
        <f t="shared" si="109"/>
        <v>-42.424878369294589</v>
      </c>
      <c r="AG49" s="5">
        <f t="shared" si="109"/>
        <v>-42.473822715176972</v>
      </c>
      <c r="AH49" s="5">
        <f t="shared" si="109"/>
        <v>-42.523701867717833</v>
      </c>
      <c r="AI49" s="5">
        <f t="shared" si="109"/>
        <v>-42.574468880322897</v>
      </c>
      <c r="AJ49" s="5">
        <f t="shared" si="109"/>
        <v>-42.626078153797472</v>
      </c>
      <c r="AK49" s="5">
        <f t="shared" si="109"/>
        <v>-42.678485403665583</v>
      </c>
      <c r="AL49" s="5">
        <f t="shared" si="109"/>
        <v>-42.731647628219356</v>
      </c>
      <c r="AM49" s="5">
        <f t="shared" si="109"/>
        <v>-42.785523077283543</v>
      </c>
      <c r="AN49" s="5">
        <f t="shared" si="109"/>
        <v>-42.8400712216797</v>
      </c>
      <c r="AO49" s="5">
        <f t="shared" si="109"/>
        <v>-42.895252723375123</v>
      </c>
      <c r="AP49" s="5">
        <f t="shared" si="109"/>
        <v>-42.951029406301998</v>
      </c>
      <c r="AQ49" s="5">
        <f t="shared" si="109"/>
        <v>-43.00736422783234</v>
      </c>
      <c r="AR49" s="5">
        <f t="shared" si="109"/>
        <v>-43.064221250894818</v>
      </c>
      <c r="AS49" s="5">
        <f t="shared" si="109"/>
        <v>-43.121565616719579</v>
      </c>
      <c r="AT49" s="5">
        <f t="shared" si="109"/>
        <v>-43.179363518197803</v>
      </c>
      <c r="AU49" s="5">
        <f t="shared" si="109"/>
        <v>-43.237582173842682</v>
      </c>
      <c r="AV49" s="5">
        <f t="shared" si="109"/>
        <v>-43.296189802338944</v>
      </c>
      <c r="AW49" s="5">
        <f t="shared" si="109"/>
        <v>-43.355155597668421</v>
      </c>
      <c r="AX49" s="5">
        <f t="shared" si="109"/>
        <v>-43.414449704799075</v>
      </c>
      <c r="AY49" s="5">
        <f t="shared" si="109"/>
        <v>-43.474043195925596</v>
      </c>
      <c r="AZ49" s="5">
        <f t="shared" si="109"/>
        <v>-43.533908047249525</v>
      </c>
      <c r="BA49" s="5">
        <f t="shared" si="109"/>
        <v>-43.594017116287482</v>
      </c>
      <c r="BB49" s="5">
        <f t="shared" si="109"/>
        <v>-43.654344119695914</v>
      </c>
      <c r="BC49" s="5">
        <f t="shared" si="109"/>
        <v>-43.714863611601388</v>
      </c>
      <c r="BD49" s="5">
        <f t="shared" si="109"/>
        <v>-43.77555096242552</v>
      </c>
      <c r="BE49" s="5">
        <f t="shared" si="109"/>
        <v>-43.836382338193708</v>
      </c>
      <c r="BF49" s="5">
        <f t="shared" si="109"/>
        <v>-43.897334680317478</v>
      </c>
      <c r="BG49" s="5">
        <f t="shared" si="109"/>
        <v>-43.958385685839922</v>
      </c>
      <c r="BH49" s="5">
        <f t="shared" si="109"/>
        <v>-44.019513788134432</v>
      </c>
      <c r="BI49" s="5">
        <f t="shared" si="109"/>
        <v>-44.080698138046827</v>
      </c>
      <c r="BJ49" s="5">
        <f t="shared" si="109"/>
        <v>-44.141918585471167</v>
      </c>
      <c r="BK49" s="5">
        <f t="shared" si="109"/>
        <v>-44.203155661350173</v>
      </c>
      <c r="BL49" s="5">
        <f t="shared" si="109"/>
        <v>-44.264390560090519</v>
      </c>
      <c r="BM49" s="5">
        <f t="shared" si="109"/>
        <v>-44.325605122384573</v>
      </c>
      <c r="BN49" s="5">
        <f t="shared" si="109"/>
        <v>-44.386781818429213</v>
      </c>
      <c r="BO49" s="5">
        <f t="shared" si="109"/>
        <v>-44.447903731533543</v>
      </c>
      <c r="BP49" s="5">
        <f t="shared" si="109"/>
        <v>-44.508954542106643</v>
      </c>
      <c r="BQ49" s="5">
        <f t="shared" si="109"/>
        <v>-44.569918512017409</v>
      </c>
      <c r="BR49" s="5">
        <f t="shared" si="109"/>
        <v>-44.630780469318054</v>
      </c>
      <c r="BS49" s="5">
        <f t="shared" ref="BS49" si="127">PV($F22,BS$9,1,0)+(PV($J$6,$K$6-BS$9,1,0)/($J$6+1)^BS$9)</f>
        <v>-44.691525793323684</v>
      </c>
      <c r="BT49" s="5">
        <f t="shared" si="114"/>
        <v>-44.75214040003975</v>
      </c>
      <c r="BU49" s="5">
        <f t="shared" si="114"/>
        <v>-44.812610727930178</v>
      </c>
      <c r="BV49" s="5">
        <f t="shared" si="114"/>
        <v>-44.872923724018491</v>
      </c>
      <c r="BW49" s="5">
        <f t="shared" si="114"/>
        <v>-44.933066830314594</v>
      </c>
      <c r="BX49" s="5">
        <f t="shared" si="114"/>
        <v>-44.993027970560256</v>
      </c>
      <c r="BY49" s="5">
        <f t="shared" si="114"/>
        <v>-45.052795537286165</v>
      </c>
      <c r="BZ49" s="5">
        <f t="shared" si="114"/>
        <v>-45.112358379173777</v>
      </c>
      <c r="CA49" s="5">
        <f t="shared" si="114"/>
        <v>-45.171705788715187</v>
      </c>
      <c r="CB49" s="5">
        <f t="shared" si="114"/>
        <v>-45.230827490164529</v>
      </c>
      <c r="CC49" s="5">
        <f t="shared" si="114"/>
        <v>-45.289713627774503</v>
      </c>
      <c r="CD49" s="5">
        <f t="shared" si="114"/>
        <v>-45.348354754311615</v>
      </c>
      <c r="CE49" s="5">
        <f t="shared" si="114"/>
        <v>-45.406741819844179</v>
      </c>
      <c r="CF49" s="5">
        <f t="shared" si="114"/>
        <v>-45.464866160796866</v>
      </c>
      <c r="CG49" s="5">
        <f t="shared" si="114"/>
        <v>-45.522719489266002</v>
      </c>
      <c r="CH49" s="5">
        <f t="shared" si="114"/>
        <v>-45.580293882589885</v>
      </c>
      <c r="CI49" s="5">
        <f t="shared" si="114"/>
        <v>-45.637581773168293</v>
      </c>
      <c r="CJ49" s="5">
        <f t="shared" si="114"/>
        <v>-45.694575938525965</v>
      </c>
      <c r="CK49" s="5">
        <f t="shared" si="114"/>
        <v>-45.751269491614302</v>
      </c>
      <c r="CL49" s="5">
        <f t="shared" si="114"/>
        <v>-45.807655871346171</v>
      </c>
      <c r="CM49" s="5">
        <f t="shared" si="114"/>
        <v>-45.807655871346171</v>
      </c>
      <c r="CN49" s="5">
        <f t="shared" si="114"/>
        <v>-45.807655871346171</v>
      </c>
      <c r="CO49" s="5">
        <f t="shared" si="114"/>
        <v>-45.807655871346171</v>
      </c>
      <c r="CP49" s="5">
        <f t="shared" si="114"/>
        <v>-45.807655871346171</v>
      </c>
      <c r="CQ49" s="5">
        <f t="shared" si="114"/>
        <v>-45.807655871346171</v>
      </c>
      <c r="CR49" s="5">
        <f t="shared" si="114"/>
        <v>-45.807655871346171</v>
      </c>
      <c r="CS49" s="5">
        <f t="shared" si="114"/>
        <v>-45.807655871346171</v>
      </c>
      <c r="CT49" s="5">
        <f t="shared" si="114"/>
        <v>-45.807655871346171</v>
      </c>
      <c r="CU49" s="5">
        <f t="shared" si="114"/>
        <v>-45.807655871346171</v>
      </c>
      <c r="CV49" s="5">
        <f t="shared" si="114"/>
        <v>-45.807655871346171</v>
      </c>
      <c r="CW49" s="5">
        <f t="shared" si="114"/>
        <v>-45.807655871346171</v>
      </c>
      <c r="CX49" s="5">
        <f t="shared" si="114"/>
        <v>-45.807655871346171</v>
      </c>
      <c r="CY49" s="5">
        <f t="shared" si="111"/>
        <v>-45.807655871346171</v>
      </c>
      <c r="CZ49" s="5">
        <f t="shared" si="111"/>
        <v>-45.807655871346171</v>
      </c>
      <c r="DA49" s="5">
        <f t="shared" si="111"/>
        <v>-45.807655871346171</v>
      </c>
      <c r="DB49" s="5">
        <f t="shared" ref="DB49:DC49" si="128">PV($F22,DB$9,1,0)+(PV($J$6,$K$6-DB$9,1,0)/($J$6+1)^DB$9)</f>
        <v>-45.807655871346171</v>
      </c>
      <c r="DC49" s="5">
        <f t="shared" si="128"/>
        <v>-45.807655871346171</v>
      </c>
      <c r="DD49" s="5">
        <f t="shared" si="111"/>
        <v>-45.807655871346171</v>
      </c>
      <c r="DE49" s="5">
        <f t="shared" ref="DE49:DF49" si="129">PV($F22,DE$9,1,0)+(PV($J$6,$K$6-DE$9,1,0)/($J$6+1)^DE$9)</f>
        <v>-45.807655871346171</v>
      </c>
      <c r="DF49" s="5">
        <f t="shared" si="129"/>
        <v>-45.807655871346171</v>
      </c>
      <c r="DG49" s="5">
        <f t="shared" si="111"/>
        <v>-45.807655871346171</v>
      </c>
      <c r="DH49" s="5">
        <f t="shared" ref="DH49:DI49" si="130">PV($F22,DH$9,1,0)+(PV($J$6,$K$6-DH$9,1,0)/($J$6+1)^DH$9)</f>
        <v>-45.807655871346171</v>
      </c>
      <c r="DI49" s="5">
        <f t="shared" si="130"/>
        <v>-45.807655871346171</v>
      </c>
      <c r="DJ49" s="5">
        <f t="shared" si="111"/>
        <v>-45.807655871346171</v>
      </c>
      <c r="DK49" s="5">
        <f t="shared" ref="DK49:DL49" si="131">PV($F22,DK$9,1,0)+(PV($J$6,$K$6-DK$9,1,0)/($J$6+1)^DK$9)</f>
        <v>-45.807655871346171</v>
      </c>
      <c r="DL49" s="5">
        <f t="shared" si="131"/>
        <v>-45.807655871346171</v>
      </c>
      <c r="DM49" s="5">
        <f t="shared" si="111"/>
        <v>-45.807655871346171</v>
      </c>
      <c r="DN49" s="5">
        <f t="shared" ref="DN49:DO49" si="132">PV($F22,DN$9,1,0)+(PV($J$6,$K$6-DN$9,1,0)/($J$6+1)^DN$9)</f>
        <v>-45.807655871346171</v>
      </c>
      <c r="DO49" s="5">
        <f t="shared" si="132"/>
        <v>-45.807655871346171</v>
      </c>
      <c r="DP49" s="5">
        <f t="shared" si="112"/>
        <v>-45.807655871346171</v>
      </c>
      <c r="DQ49" s="5">
        <f t="shared" si="112"/>
        <v>-45.807655871346171</v>
      </c>
      <c r="DR49" s="5">
        <f t="shared" si="112"/>
        <v>-45.807655871346171</v>
      </c>
      <c r="DS49" s="5">
        <f t="shared" si="112"/>
        <v>-45.807655871346171</v>
      </c>
      <c r="DT49" s="5">
        <f t="shared" si="112"/>
        <v>-45.807655871346171</v>
      </c>
      <c r="DU49" s="5">
        <f t="shared" si="112"/>
        <v>-45.807655871346171</v>
      </c>
      <c r="DV49" s="5">
        <f t="shared" si="112"/>
        <v>-45.807655871346171</v>
      </c>
      <c r="DW49" s="5">
        <f t="shared" ref="DW49:ET49" si="133">PV($F22,DW$9,1,0)+(PV($J$6,$K$6-DW$9,1,0)/($J$6+1)^DW$9)</f>
        <v>-45.807655871346171</v>
      </c>
      <c r="DX49" s="5">
        <f t="shared" si="133"/>
        <v>-45.807655871346171</v>
      </c>
      <c r="DY49" s="5">
        <f t="shared" si="133"/>
        <v>-45.807655871346171</v>
      </c>
      <c r="DZ49" s="5">
        <f t="shared" si="133"/>
        <v>-45.807655871346171</v>
      </c>
      <c r="EA49" s="5">
        <f t="shared" si="133"/>
        <v>-45.807655871346171</v>
      </c>
      <c r="EB49" s="5">
        <f t="shared" si="133"/>
        <v>-45.807655871346171</v>
      </c>
      <c r="EC49" s="5">
        <f t="shared" si="133"/>
        <v>-45.807655871346171</v>
      </c>
      <c r="ED49" s="5">
        <f t="shared" si="133"/>
        <v>-45.807655871346171</v>
      </c>
      <c r="EE49" s="5">
        <f t="shared" si="133"/>
        <v>-45.807655871346171</v>
      </c>
      <c r="EF49" s="5">
        <f t="shared" si="133"/>
        <v>-45.807655871346171</v>
      </c>
      <c r="EG49" s="5">
        <f t="shared" si="133"/>
        <v>-45.807655871346171</v>
      </c>
      <c r="EH49" s="5">
        <f t="shared" si="133"/>
        <v>-45.807655871346171</v>
      </c>
      <c r="EI49" s="5">
        <f t="shared" si="133"/>
        <v>-45.807655871346171</v>
      </c>
      <c r="EJ49" s="5">
        <f t="shared" si="133"/>
        <v>-45.807655871346171</v>
      </c>
      <c r="EK49" s="5">
        <f t="shared" si="133"/>
        <v>-45.807655871346171</v>
      </c>
      <c r="EL49" s="5">
        <f t="shared" si="133"/>
        <v>-45.807655871346171</v>
      </c>
      <c r="EM49" s="5">
        <f t="shared" si="133"/>
        <v>-45.807655871346171</v>
      </c>
      <c r="EN49" s="5">
        <f t="shared" si="133"/>
        <v>-45.807655871346171</v>
      </c>
      <c r="EO49" s="5">
        <f t="shared" si="133"/>
        <v>-45.807655871346171</v>
      </c>
      <c r="EP49" s="5">
        <f t="shared" si="133"/>
        <v>-45.807655871346171</v>
      </c>
      <c r="EQ49" s="5">
        <f t="shared" si="133"/>
        <v>-45.807655871346171</v>
      </c>
      <c r="ER49" s="5">
        <f t="shared" si="133"/>
        <v>-45.807655871346171</v>
      </c>
      <c r="ES49" s="5">
        <f t="shared" si="133"/>
        <v>-45.807655871346171</v>
      </c>
      <c r="ET49" s="5">
        <f t="shared" si="133"/>
        <v>-45.807655871346171</v>
      </c>
      <c r="FF49" s="130" t="s">
        <v>208</v>
      </c>
      <c r="FG49" s="12">
        <v>2.1899999999999999E-2</v>
      </c>
      <c r="FH49" s="12">
        <v>84</v>
      </c>
      <c r="FI49" s="12">
        <v>1.9900000000000001E-2</v>
      </c>
      <c r="FJ49" s="82">
        <v>1.7399999999999999E-2</v>
      </c>
      <c r="FK49" s="134">
        <f t="shared" si="62"/>
        <v>2.5000000000000001E-4</v>
      </c>
      <c r="FL49">
        <f>VLOOKUP(FF49,'SIMULADOR COM SALDO'!$BF$22:$BS$268,13,FALSE)</f>
        <v>2.1899999999999999E-2</v>
      </c>
    </row>
    <row r="50" spans="7:168" hidden="1" x14ac:dyDescent="0.25">
      <c r="G50" s="5">
        <f t="shared" si="89"/>
        <v>-41.673939325450668</v>
      </c>
      <c r="H50" s="5">
        <f t="shared" ref="H50:BS53" si="134">PV($F23,H$9,1,0)+(PV($J$6,$K$6-H$9,1,0)/($J$6+1)^H$9)</f>
        <v>-41.678744328521802</v>
      </c>
      <c r="I50" s="5">
        <f t="shared" si="134"/>
        <v>-41.685825565944313</v>
      </c>
      <c r="J50" s="5">
        <f t="shared" si="134"/>
        <v>-41.695101813791794</v>
      </c>
      <c r="K50" s="5">
        <f t="shared" si="134"/>
        <v>-41.706493998882706</v>
      </c>
      <c r="L50" s="5">
        <f t="shared" si="134"/>
        <v>-41.719925148229528</v>
      </c>
      <c r="M50" s="5">
        <f t="shared" si="134"/>
        <v>-41.735320339602232</v>
      </c>
      <c r="N50" s="5">
        <f t="shared" si="134"/>
        <v>-41.752606653182468</v>
      </c>
      <c r="O50" s="5">
        <f t="shared" si="134"/>
        <v>-41.77171312428532</v>
      </c>
      <c r="P50" s="5">
        <f t="shared" si="134"/>
        <v>-41.792570697126081</v>
      </c>
      <c r="Q50" s="5">
        <f t="shared" si="134"/>
        <v>-41.815112179609777</v>
      </c>
      <c r="R50" s="5">
        <f t="shared" si="134"/>
        <v>-41.839272199121829</v>
      </c>
      <c r="S50" s="5">
        <f t="shared" si="134"/>
        <v>-41.864987159298472</v>
      </c>
      <c r="T50" s="5">
        <f t="shared" si="134"/>
        <v>-41.892195197756095</v>
      </c>
      <c r="U50" s="5">
        <f t="shared" si="134"/>
        <v>-41.920836144759342</v>
      </c>
      <c r="V50" s="5">
        <f t="shared" si="134"/>
        <v>-41.950851482807607</v>
      </c>
      <c r="W50" s="5">
        <f t="shared" si="134"/>
        <v>-41.982184307120754</v>
      </c>
      <c r="X50" s="5">
        <f t="shared" si="134"/>
        <v>-42.014779287004551</v>
      </c>
      <c r="Y50" s="5">
        <f t="shared" si="134"/>
        <v>-42.048582628077405</v>
      </c>
      <c r="Z50" s="5">
        <f t="shared" si="134"/>
        <v>-42.083542035339732</v>
      </c>
      <c r="AA50" s="5">
        <f t="shared" si="134"/>
        <v>-42.11960667706807</v>
      </c>
      <c r="AB50" s="5">
        <f t="shared" si="134"/>
        <v>-42.156727149516442</v>
      </c>
      <c r="AC50" s="5">
        <f t="shared" si="134"/>
        <v>-42.194855442407544</v>
      </c>
      <c r="AD50" s="5">
        <f t="shared" si="134"/>
        <v>-42.233944905196893</v>
      </c>
      <c r="AE50" s="5">
        <f t="shared" si="134"/>
        <v>-42.273950214093453</v>
      </c>
      <c r="AF50" s="5">
        <f t="shared" si="134"/>
        <v>-42.314827339820567</v>
      </c>
      <c r="AG50" s="5">
        <f t="shared" si="134"/>
        <v>-42.356533516101173</v>
      </c>
      <c r="AH50" s="5">
        <f t="shared" si="134"/>
        <v>-42.399027208851919</v>
      </c>
      <c r="AI50" s="5">
        <f t="shared" si="134"/>
        <v>-42.442268086070968</v>
      </c>
      <c r="AJ50" s="5">
        <f t="shared" si="134"/>
        <v>-42.486216988404351</v>
      </c>
      <c r="AK50" s="5">
        <f t="shared" si="134"/>
        <v>-42.530835900376786</v>
      </c>
      <c r="AL50" s="5">
        <f t="shared" si="134"/>
        <v>-42.57608792227208</v>
      </c>
      <c r="AM50" s="5">
        <f t="shared" si="134"/>
        <v>-42.621937242649565</v>
      </c>
      <c r="AN50" s="5">
        <f t="shared" si="134"/>
        <v>-42.668349111482755</v>
      </c>
      <c r="AO50" s="5">
        <f t="shared" si="134"/>
        <v>-42.715289813906722</v>
      </c>
      <c r="AP50" s="5">
        <f t="shared" si="134"/>
        <v>-42.76272664456117</v>
      </c>
      <c r="AQ50" s="5">
        <f t="shared" si="134"/>
        <v>-42.810627882516314</v>
      </c>
      <c r="AR50" s="5">
        <f t="shared" si="134"/>
        <v>-42.858962766769011</v>
      </c>
      <c r="AS50" s="5">
        <f t="shared" si="134"/>
        <v>-42.907701472296793</v>
      </c>
      <c r="AT50" s="5">
        <f t="shared" si="134"/>
        <v>-42.956815086657706</v>
      </c>
      <c r="AU50" s="5">
        <f t="shared" si="134"/>
        <v>-43.006275587124236</v>
      </c>
      <c r="AV50" s="5">
        <f t="shared" si="134"/>
        <v>-43.056055818339622</v>
      </c>
      <c r="AW50" s="5">
        <f t="shared" si="134"/>
        <v>-43.106129470485442</v>
      </c>
      <c r="AX50" s="5">
        <f t="shared" si="134"/>
        <v>-43.156471057949105</v>
      </c>
      <c r="AY50" s="5">
        <f t="shared" si="134"/>
        <v>-43.207055898480675</v>
      </c>
      <c r="AZ50" s="5">
        <f t="shared" si="134"/>
        <v>-43.257860092828182</v>
      </c>
      <c r="BA50" s="5">
        <f t="shared" si="134"/>
        <v>-43.308860504841178</v>
      </c>
      <c r="BB50" s="5">
        <f t="shared" si="134"/>
        <v>-43.360034742032298</v>
      </c>
      <c r="BC50" s="5">
        <f t="shared" si="134"/>
        <v>-43.411361136586706</v>
      </c>
      <c r="BD50" s="5">
        <f t="shared" si="134"/>
        <v>-43.462818726809992</v>
      </c>
      <c r="BE50" s="5">
        <f t="shared" si="134"/>
        <v>-43.514387239004655</v>
      </c>
      <c r="BF50" s="5">
        <f t="shared" si="134"/>
        <v>-43.566047069765972</v>
      </c>
      <c r="BG50" s="5">
        <f t="shared" si="134"/>
        <v>-43.617779268688039</v>
      </c>
      <c r="BH50" s="5">
        <f t="shared" si="134"/>
        <v>-43.6695655214711</v>
      </c>
      <c r="BI50" s="5">
        <f t="shared" si="134"/>
        <v>-43.721388133421257</v>
      </c>
      <c r="BJ50" s="5">
        <f t="shared" si="134"/>
        <v>-43.773230013334036</v>
      </c>
      <c r="BK50" s="5">
        <f t="shared" si="134"/>
        <v>-43.825074657753518</v>
      </c>
      <c r="BL50" s="5">
        <f t="shared" si="134"/>
        <v>-43.876906135598517</v>
      </c>
      <c r="BM50" s="5">
        <f t="shared" si="134"/>
        <v>-43.928709073148077</v>
      </c>
      <c r="BN50" s="5">
        <f t="shared" si="134"/>
        <v>-43.980468639378088</v>
      </c>
      <c r="BO50" s="5">
        <f t="shared" si="134"/>
        <v>-44.03217053164164</v>
      </c>
      <c r="BP50" s="5">
        <f t="shared" si="134"/>
        <v>-44.083800961685114</v>
      </c>
      <c r="BQ50" s="5">
        <f t="shared" si="134"/>
        <v>-44.135346641993088</v>
      </c>
      <c r="BR50" s="5">
        <f t="shared" si="134"/>
        <v>-44.186794772454512</v>
      </c>
      <c r="BS50" s="5">
        <f t="shared" si="134"/>
        <v>-44.238133027343061</v>
      </c>
      <c r="BT50" s="5">
        <f t="shared" si="114"/>
        <v>-44.289349542604938</v>
      </c>
      <c r="BU50" s="5">
        <f t="shared" si="114"/>
        <v>-44.340432903447137</v>
      </c>
      <c r="BV50" s="5">
        <f t="shared" si="114"/>
        <v>-44.391372132219587</v>
      </c>
      <c r="BW50" s="5">
        <f t="shared" si="114"/>
        <v>-44.442156676584659</v>
      </c>
      <c r="BX50" s="5">
        <f t="shared" si="114"/>
        <v>-44.492776397967738</v>
      </c>
      <c r="BY50" s="5">
        <f t="shared" si="114"/>
        <v>-44.543221560282532</v>
      </c>
      <c r="BZ50" s="5">
        <f t="shared" si="114"/>
        <v>-44.593482818925011</v>
      </c>
      <c r="CA50" s="5">
        <f t="shared" si="114"/>
        <v>-44.643551210030132</v>
      </c>
      <c r="CB50" s="5">
        <f t="shared" si="114"/>
        <v>-44.693418139985376</v>
      </c>
      <c r="CC50" s="5">
        <f t="shared" si="114"/>
        <v>-44.743075375195438</v>
      </c>
      <c r="CD50" s="5">
        <f t="shared" si="114"/>
        <v>-44.792515032092446</v>
      </c>
      <c r="CE50" s="5">
        <f t="shared" si="114"/>
        <v>-44.841729567386267</v>
      </c>
      <c r="CF50" s="5">
        <f t="shared" si="114"/>
        <v>-44.890711768549536</v>
      </c>
      <c r="CG50" s="5">
        <f t="shared" si="114"/>
        <v>-44.939454744532092</v>
      </c>
      <c r="CH50" s="5">
        <f t="shared" si="114"/>
        <v>-44.987951916699792</v>
      </c>
      <c r="CI50" s="5">
        <f t="shared" si="114"/>
        <v>-45.036197009992591</v>
      </c>
      <c r="CJ50" s="5">
        <f t="shared" si="114"/>
        <v>-45.084184044297068</v>
      </c>
      <c r="CK50" s="5">
        <f t="shared" si="114"/>
        <v>-45.131907326028433</v>
      </c>
      <c r="CL50" s="5">
        <f t="shared" si="114"/>
        <v>-45.179361439917514</v>
      </c>
      <c r="CM50" s="5">
        <f t="shared" si="114"/>
        <v>-45.179361439917514</v>
      </c>
      <c r="CN50" s="5">
        <f t="shared" si="114"/>
        <v>-45.179361439917514</v>
      </c>
      <c r="CO50" s="5">
        <f t="shared" si="114"/>
        <v>-45.179361439917514</v>
      </c>
      <c r="CP50" s="5">
        <f t="shared" si="114"/>
        <v>-45.179361439917514</v>
      </c>
      <c r="CQ50" s="5">
        <f t="shared" si="114"/>
        <v>-45.179361439917514</v>
      </c>
      <c r="CR50" s="5">
        <f t="shared" si="114"/>
        <v>-45.179361439917514</v>
      </c>
      <c r="CS50" s="5">
        <f t="shared" si="114"/>
        <v>-45.179361439917514</v>
      </c>
      <c r="CT50" s="5">
        <f t="shared" si="114"/>
        <v>-45.179361439917514</v>
      </c>
      <c r="CU50" s="5">
        <f t="shared" si="114"/>
        <v>-45.179361439917514</v>
      </c>
      <c r="CV50" s="5">
        <f t="shared" si="114"/>
        <v>-45.179361439917514</v>
      </c>
      <c r="CW50" s="5">
        <f t="shared" si="114"/>
        <v>-45.179361439917514</v>
      </c>
      <c r="CX50" s="5">
        <f t="shared" si="114"/>
        <v>-45.179361439917514</v>
      </c>
      <c r="CY50" s="5">
        <f t="shared" si="111"/>
        <v>-45.179361439917514</v>
      </c>
      <c r="CZ50" s="5">
        <f t="shared" si="111"/>
        <v>-45.179361439917514</v>
      </c>
      <c r="DA50" s="5">
        <f t="shared" si="111"/>
        <v>-45.179361439917514</v>
      </c>
      <c r="DB50" s="5">
        <f t="shared" ref="DB50:DC50" si="135">PV($F23,DB$9,1,0)+(PV($J$6,$K$6-DB$9,1,0)/($J$6+1)^DB$9)</f>
        <v>-45.179361439917514</v>
      </c>
      <c r="DC50" s="5">
        <f t="shared" si="135"/>
        <v>-45.179361439917514</v>
      </c>
      <c r="DD50" s="5">
        <f t="shared" si="111"/>
        <v>-45.179361439917514</v>
      </c>
      <c r="DE50" s="5">
        <f t="shared" ref="DE50:DF50" si="136">PV($F23,DE$9,1,0)+(PV($J$6,$K$6-DE$9,1,0)/($J$6+1)^DE$9)</f>
        <v>-45.179361439917514</v>
      </c>
      <c r="DF50" s="5">
        <f t="shared" si="136"/>
        <v>-45.179361439917514</v>
      </c>
      <c r="DG50" s="5">
        <f t="shared" si="111"/>
        <v>-45.179361439917514</v>
      </c>
      <c r="DH50" s="5">
        <f t="shared" ref="DH50:DI50" si="137">PV($F23,DH$9,1,0)+(PV($J$6,$K$6-DH$9,1,0)/($J$6+1)^DH$9)</f>
        <v>-45.179361439917514</v>
      </c>
      <c r="DI50" s="5">
        <f t="shared" si="137"/>
        <v>-45.179361439917514</v>
      </c>
      <c r="DJ50" s="5">
        <f t="shared" si="111"/>
        <v>-45.179361439917514</v>
      </c>
      <c r="DK50" s="5">
        <f t="shared" ref="DK50:DL50" si="138">PV($F23,DK$9,1,0)+(PV($J$6,$K$6-DK$9,1,0)/($J$6+1)^DK$9)</f>
        <v>-45.179361439917514</v>
      </c>
      <c r="DL50" s="5">
        <f t="shared" si="138"/>
        <v>-45.179361439917514</v>
      </c>
      <c r="DM50" s="5">
        <f t="shared" si="111"/>
        <v>-45.179361439917514</v>
      </c>
      <c r="DN50" s="5">
        <f t="shared" ref="DN50:DO50" si="139">PV($F23,DN$9,1,0)+(PV($J$6,$K$6-DN$9,1,0)/($J$6+1)^DN$9)</f>
        <v>-45.179361439917514</v>
      </c>
      <c r="DO50" s="5">
        <f t="shared" si="139"/>
        <v>-45.179361439917514</v>
      </c>
      <c r="DP50" s="5">
        <f t="shared" si="112"/>
        <v>-45.179361439917514</v>
      </c>
      <c r="DQ50" s="5">
        <f t="shared" si="112"/>
        <v>-45.179361439917514</v>
      </c>
      <c r="DR50" s="5">
        <f t="shared" si="112"/>
        <v>-45.179361439917514</v>
      </c>
      <c r="DS50" s="5">
        <f t="shared" si="112"/>
        <v>-45.179361439917514</v>
      </c>
      <c r="DT50" s="5">
        <f t="shared" si="112"/>
        <v>-45.179361439917514</v>
      </c>
      <c r="DU50" s="5">
        <f t="shared" si="112"/>
        <v>-45.179361439917514</v>
      </c>
      <c r="DV50" s="5">
        <f t="shared" si="112"/>
        <v>-45.179361439917514</v>
      </c>
      <c r="DW50" s="5">
        <f t="shared" ref="DW50:ET50" si="140">PV($F23,DW$9,1,0)+(PV($J$6,$K$6-DW$9,1,0)/($J$6+1)^DW$9)</f>
        <v>-45.179361439917514</v>
      </c>
      <c r="DX50" s="5">
        <f t="shared" si="140"/>
        <v>-45.179361439917514</v>
      </c>
      <c r="DY50" s="5">
        <f t="shared" si="140"/>
        <v>-45.179361439917514</v>
      </c>
      <c r="DZ50" s="5">
        <f t="shared" si="140"/>
        <v>-45.179361439917514</v>
      </c>
      <c r="EA50" s="5">
        <f t="shared" si="140"/>
        <v>-45.179361439917514</v>
      </c>
      <c r="EB50" s="5">
        <f t="shared" si="140"/>
        <v>-45.179361439917514</v>
      </c>
      <c r="EC50" s="5">
        <f t="shared" si="140"/>
        <v>-45.179361439917514</v>
      </c>
      <c r="ED50" s="5">
        <f t="shared" si="140"/>
        <v>-45.179361439917514</v>
      </c>
      <c r="EE50" s="5">
        <f t="shared" si="140"/>
        <v>-45.179361439917514</v>
      </c>
      <c r="EF50" s="5">
        <f t="shared" si="140"/>
        <v>-45.179361439917514</v>
      </c>
      <c r="EG50" s="5">
        <f t="shared" si="140"/>
        <v>-45.179361439917514</v>
      </c>
      <c r="EH50" s="5">
        <f t="shared" si="140"/>
        <v>-45.179361439917514</v>
      </c>
      <c r="EI50" s="5">
        <f t="shared" si="140"/>
        <v>-45.179361439917514</v>
      </c>
      <c r="EJ50" s="5">
        <f t="shared" si="140"/>
        <v>-45.179361439917514</v>
      </c>
      <c r="EK50" s="5">
        <f t="shared" si="140"/>
        <v>-45.179361439917514</v>
      </c>
      <c r="EL50" s="5">
        <f t="shared" si="140"/>
        <v>-45.179361439917514</v>
      </c>
      <c r="EM50" s="5">
        <f t="shared" si="140"/>
        <v>-45.179361439917514</v>
      </c>
      <c r="EN50" s="5">
        <f t="shared" si="140"/>
        <v>-45.179361439917514</v>
      </c>
      <c r="EO50" s="5">
        <f t="shared" si="140"/>
        <v>-45.179361439917514</v>
      </c>
      <c r="EP50" s="5">
        <f t="shared" si="140"/>
        <v>-45.179361439917514</v>
      </c>
      <c r="EQ50" s="5">
        <f t="shared" si="140"/>
        <v>-45.179361439917514</v>
      </c>
      <c r="ER50" s="5">
        <f t="shared" si="140"/>
        <v>-45.179361439917514</v>
      </c>
      <c r="ES50" s="5">
        <f t="shared" si="140"/>
        <v>-45.179361439917514</v>
      </c>
      <c r="ET50" s="5">
        <f t="shared" si="140"/>
        <v>-45.179361439917514</v>
      </c>
      <c r="FF50" s="130" t="s">
        <v>210</v>
      </c>
      <c r="FG50" s="12">
        <v>2.3700000000000002E-2</v>
      </c>
      <c r="FH50" s="12">
        <v>120</v>
      </c>
      <c r="FI50" s="12">
        <v>1.9900000000000001E-2</v>
      </c>
      <c r="FJ50" s="82">
        <v>1.7399999999999999E-2</v>
      </c>
      <c r="FK50" s="134">
        <f t="shared" si="62"/>
        <v>3.5000000000000021E-4</v>
      </c>
      <c r="FL50">
        <f>VLOOKUP(FF50,'SIMULADOR COM SALDO'!$BF$22:$BS$268,13,FALSE)</f>
        <v>2.3700000000000002E-2</v>
      </c>
    </row>
    <row r="51" spans="7:168" hidden="1" x14ac:dyDescent="0.25">
      <c r="G51" s="5">
        <f t="shared" si="89"/>
        <v>-41.673530922365607</v>
      </c>
      <c r="H51" s="5">
        <f t="shared" si="134"/>
        <v>-41.677532597292497</v>
      </c>
      <c r="I51" s="5">
        <f t="shared" si="134"/>
        <v>-41.683428725921353</v>
      </c>
      <c r="J51" s="5">
        <f t="shared" si="134"/>
        <v>-41.691150902460151</v>
      </c>
      <c r="K51" s="5">
        <f t="shared" si="134"/>
        <v>-41.700632552775623</v>
      </c>
      <c r="L51" s="5">
        <f t="shared" si="134"/>
        <v>-41.711808890883219</v>
      </c>
      <c r="M51" s="5">
        <f t="shared" si="134"/>
        <v>-41.724616876405882</v>
      </c>
      <c r="N51" s="5">
        <f t="shared" si="134"/>
        <v>-41.738995172981056</v>
      </c>
      <c r="O51" s="5">
        <f t="shared" si="134"/>
        <v>-41.754884107595288</v>
      </c>
      <c r="P51" s="5">
        <f t="shared" si="134"/>
        <v>-41.772225630827052</v>
      </c>
      <c r="Q51" s="5">
        <f t="shared" si="134"/>
        <v>-41.790963277977831</v>
      </c>
      <c r="R51" s="5">
        <f t="shared" si="134"/>
        <v>-41.811042131072931</v>
      </c>
      <c r="S51" s="5">
        <f t="shared" si="134"/>
        <v>-41.832408781712864</v>
      </c>
      <c r="T51" s="5">
        <f t="shared" si="134"/>
        <v>-41.855011294757382</v>
      </c>
      <c r="U51" s="5">
        <f t="shared" si="134"/>
        <v>-41.878799172824202</v>
      </c>
      <c r="V51" s="5">
        <f t="shared" si="134"/>
        <v>-41.903723321584891</v>
      </c>
      <c r="W51" s="5">
        <f t="shared" si="134"/>
        <v>-41.929736015840668</v>
      </c>
      <c r="X51" s="5">
        <f t="shared" si="134"/>
        <v>-41.956790866361523</v>
      </c>
      <c r="Y51" s="5">
        <f t="shared" si="134"/>
        <v>-41.984842787472211</v>
      </c>
      <c r="Z51" s="5">
        <f t="shared" si="134"/>
        <v>-42.013847965368782</v>
      </c>
      <c r="AA51" s="5">
        <f t="shared" si="134"/>
        <v>-42.043763827150187</v>
      </c>
      <c r="AB51" s="5">
        <f t="shared" si="134"/>
        <v>-42.07454901054939</v>
      </c>
      <c r="AC51" s="5">
        <f t="shared" si="134"/>
        <v>-42.106163334348949</v>
      </c>
      <c r="AD51" s="5">
        <f t="shared" si="134"/>
        <v>-42.138567769466178</v>
      </c>
      <c r="AE51" s="5">
        <f t="shared" si="134"/>
        <v>-42.1717244106935</v>
      </c>
      <c r="AF51" s="5">
        <f t="shared" si="134"/>
        <v>-42.205596449079884</v>
      </c>
      <c r="AG51" s="5">
        <f t="shared" si="134"/>
        <v>-42.240148144939269</v>
      </c>
      <c r="AH51" s="5">
        <f t="shared" si="134"/>
        <v>-42.275344801472713</v>
      </c>
      <c r="AI51" s="5">
        <f t="shared" si="134"/>
        <v>-42.311152738990614</v>
      </c>
      <c r="AJ51" s="5">
        <f t="shared" si="134"/>
        <v>-42.347539269722247</v>
      </c>
      <c r="AK51" s="5">
        <f t="shared" si="134"/>
        <v>-42.384472673199838</v>
      </c>
      <c r="AL51" s="5">
        <f t="shared" si="134"/>
        <v>-42.421922172204575</v>
      </c>
      <c r="AM51" s="5">
        <f t="shared" si="134"/>
        <v>-42.459857909262325</v>
      </c>
      <c r="AN51" s="5">
        <f t="shared" si="134"/>
        <v>-42.498250923677446</v>
      </c>
      <c r="AO51" s="5">
        <f t="shared" si="134"/>
        <v>-42.537073129092448</v>
      </c>
      <c r="AP51" s="5">
        <f t="shared" si="134"/>
        <v>-42.576297291562533</v>
      </c>
      <c r="AQ51" s="5">
        <f t="shared" si="134"/>
        <v>-42.615897008133452</v>
      </c>
      <c r="AR51" s="5">
        <f t="shared" si="134"/>
        <v>-42.655846685911889</v>
      </c>
      <c r="AS51" s="5">
        <f t="shared" si="134"/>
        <v>-42.696121521617606</v>
      </c>
      <c r="AT51" s="5">
        <f t="shared" si="134"/>
        <v>-42.736697481606726</v>
      </c>
      <c r="AU51" s="5">
        <f t="shared" si="134"/>
        <v>-42.777551282355887</v>
      </c>
      <c r="AV51" s="5">
        <f t="shared" si="134"/>
        <v>-42.81866037139735</v>
      </c>
      <c r="AW51" s="5">
        <f t="shared" si="134"/>
        <v>-42.86000290869486</v>
      </c>
      <c r="AX51" s="5">
        <f t="shared" si="134"/>
        <v>-42.901557748450983</v>
      </c>
      <c r="AY51" s="5">
        <f t="shared" si="134"/>
        <v>-42.943304421336137</v>
      </c>
      <c r="AZ51" s="5">
        <f t="shared" si="134"/>
        <v>-42.985223117130204</v>
      </c>
      <c r="BA51" s="5">
        <f t="shared" si="134"/>
        <v>-43.027294667767741</v>
      </c>
      <c r="BB51" s="5">
        <f t="shared" si="134"/>
        <v>-43.069500530777809</v>
      </c>
      <c r="BC51" s="5">
        <f t="shared" si="134"/>
        <v>-43.111822773109594</v>
      </c>
      <c r="BD51" s="5">
        <f t="shared" si="134"/>
        <v>-43.154244055335766</v>
      </c>
      <c r="BE51" s="5">
        <f t="shared" si="134"/>
        <v>-43.196747616224791</v>
      </c>
      <c r="BF51" s="5">
        <f t="shared" si="134"/>
        <v>-43.239317257674294</v>
      </c>
      <c r="BG51" s="5">
        <f t="shared" si="134"/>
        <v>-43.281937329997511</v>
      </c>
      <c r="BH51" s="5">
        <f t="shared" si="134"/>
        <v>-43.324592717554978</v>
      </c>
      <c r="BI51" s="5">
        <f t="shared" si="134"/>
        <v>-43.367268824723766</v>
      </c>
      <c r="BJ51" s="5">
        <f t="shared" si="134"/>
        <v>-43.409951562196902</v>
      </c>
      <c r="BK51" s="5">
        <f t="shared" si="134"/>
        <v>-43.452627333605712</v>
      </c>
      <c r="BL51" s="5">
        <f t="shared" si="134"/>
        <v>-43.495283022457656</v>
      </c>
      <c r="BM51" s="5">
        <f t="shared" si="134"/>
        <v>-43.537905979383012</v>
      </c>
      <c r="BN51" s="5">
        <f t="shared" si="134"/>
        <v>-43.580484009683339</v>
      </c>
      <c r="BO51" s="5">
        <f t="shared" si="134"/>
        <v>-43.623005361175011</v>
      </c>
      <c r="BP51" s="5">
        <f t="shared" si="134"/>
        <v>-43.665458712321353</v>
      </c>
      <c r="BQ51" s="5">
        <f t="shared" si="134"/>
        <v>-43.707833160646921</v>
      </c>
      <c r="BR51" s="5">
        <f t="shared" si="134"/>
        <v>-43.75011821142764</v>
      </c>
      <c r="BS51" s="5">
        <f t="shared" si="134"/>
        <v>-43.792303766650555</v>
      </c>
      <c r="BT51" s="5">
        <f t="shared" si="114"/>
        <v>-43.834380114237383</v>
      </c>
      <c r="BU51" s="5">
        <f t="shared" si="114"/>
        <v>-43.876337917525795</v>
      </c>
      <c r="BV51" s="5">
        <f t="shared" si="114"/>
        <v>-43.918168205002715</v>
      </c>
      <c r="BW51" s="5">
        <f t="shared" si="114"/>
        <v>-43.959862360284042</v>
      </c>
      <c r="BX51" s="5">
        <f t="shared" si="114"/>
        <v>-44.001412112335174</v>
      </c>
      <c r="BY51" s="5">
        <f t="shared" si="114"/>
        <v>-44.04280952592709</v>
      </c>
      <c r="BZ51" s="5">
        <f t="shared" si="114"/>
        <v>-44.084046992322598</v>
      </c>
      <c r="CA51" s="5">
        <f t="shared" si="114"/>
        <v>-44.125117220187434</v>
      </c>
      <c r="CB51" s="5">
        <f t="shared" si="114"/>
        <v>-44.166013226721596</v>
      </c>
      <c r="CC51" s="5">
        <f t="shared" si="114"/>
        <v>-44.206728329005387</v>
      </c>
      <c r="CD51" s="5">
        <f t="shared" si="114"/>
        <v>-44.247256135555851</v>
      </c>
      <c r="CE51" s="5">
        <f t="shared" si="114"/>
        <v>-44.287590538088438</v>
      </c>
      <c r="CF51" s="5">
        <f t="shared" si="114"/>
        <v>-44.327725703479594</v>
      </c>
      <c r="CG51" s="5">
        <f t="shared" si="114"/>
        <v>-44.367656065925452</v>
      </c>
      <c r="CH51" s="5">
        <f t="shared" si="114"/>
        <v>-44.40737631929251</v>
      </c>
      <c r="CI51" s="5">
        <f t="shared" si="114"/>
        <v>-44.446881409655496</v>
      </c>
      <c r="CJ51" s="5">
        <f t="shared" si="114"/>
        <v>-44.486166528018714</v>
      </c>
      <c r="CK51" s="5">
        <f t="shared" si="114"/>
        <v>-44.525227103216288</v>
      </c>
      <c r="CL51" s="5">
        <f t="shared" si="114"/>
        <v>-44.564058794987382</v>
      </c>
      <c r="CM51" s="5">
        <f t="shared" si="114"/>
        <v>-44.564058794987382</v>
      </c>
      <c r="CN51" s="5">
        <f t="shared" si="114"/>
        <v>-44.564058794987382</v>
      </c>
      <c r="CO51" s="5">
        <f t="shared" si="114"/>
        <v>-44.564058794987382</v>
      </c>
      <c r="CP51" s="5">
        <f t="shared" si="114"/>
        <v>-44.564058794987382</v>
      </c>
      <c r="CQ51" s="5">
        <f t="shared" si="114"/>
        <v>-44.564058794987382</v>
      </c>
      <c r="CR51" s="5">
        <f t="shared" si="114"/>
        <v>-44.564058794987382</v>
      </c>
      <c r="CS51" s="5">
        <f t="shared" si="114"/>
        <v>-44.564058794987382</v>
      </c>
      <c r="CT51" s="5">
        <f t="shared" si="114"/>
        <v>-44.564058794987382</v>
      </c>
      <c r="CU51" s="5">
        <f t="shared" si="114"/>
        <v>-44.564058794987382</v>
      </c>
      <c r="CV51" s="5">
        <f t="shared" si="114"/>
        <v>-44.564058794987382</v>
      </c>
      <c r="CW51" s="5">
        <f t="shared" si="114"/>
        <v>-44.564058794987382</v>
      </c>
      <c r="CX51" s="5">
        <f t="shared" si="114"/>
        <v>-44.564058794987382</v>
      </c>
      <c r="CY51" s="5">
        <f t="shared" si="111"/>
        <v>-44.564058794987382</v>
      </c>
      <c r="CZ51" s="5">
        <f t="shared" si="111"/>
        <v>-44.564058794987382</v>
      </c>
      <c r="DA51" s="5">
        <f t="shared" si="111"/>
        <v>-44.564058794987382</v>
      </c>
      <c r="DB51" s="5">
        <f t="shared" ref="DB51:DC51" si="141">PV($F24,DB$9,1,0)+(PV($J$6,$K$6-DB$9,1,0)/($J$6+1)^DB$9)</f>
        <v>-44.564058794987382</v>
      </c>
      <c r="DC51" s="5">
        <f t="shared" si="141"/>
        <v>-44.564058794987382</v>
      </c>
      <c r="DD51" s="5">
        <f t="shared" si="111"/>
        <v>-44.564058794987382</v>
      </c>
      <c r="DE51" s="5">
        <f t="shared" ref="DE51:DF51" si="142">PV($F24,DE$9,1,0)+(PV($J$6,$K$6-DE$9,1,0)/($J$6+1)^DE$9)</f>
        <v>-44.564058794987382</v>
      </c>
      <c r="DF51" s="5">
        <f t="shared" si="142"/>
        <v>-44.564058794987382</v>
      </c>
      <c r="DG51" s="5">
        <f t="shared" si="111"/>
        <v>-44.564058794987382</v>
      </c>
      <c r="DH51" s="5">
        <f t="shared" ref="DH51:DI51" si="143">PV($F24,DH$9,1,0)+(PV($J$6,$K$6-DH$9,1,0)/($J$6+1)^DH$9)</f>
        <v>-44.564058794987382</v>
      </c>
      <c r="DI51" s="5">
        <f t="shared" si="143"/>
        <v>-44.564058794987382</v>
      </c>
      <c r="DJ51" s="5">
        <f t="shared" si="111"/>
        <v>-44.564058794987382</v>
      </c>
      <c r="DK51" s="5">
        <f t="shared" ref="DK51:DL51" si="144">PV($F24,DK$9,1,0)+(PV($J$6,$K$6-DK$9,1,0)/($J$6+1)^DK$9)</f>
        <v>-44.564058794987382</v>
      </c>
      <c r="DL51" s="5">
        <f t="shared" si="144"/>
        <v>-44.564058794987382</v>
      </c>
      <c r="DM51" s="5">
        <f t="shared" si="111"/>
        <v>-44.564058794987382</v>
      </c>
      <c r="DN51" s="5">
        <f t="shared" ref="DN51:DO51" si="145">PV($F24,DN$9,1,0)+(PV($J$6,$K$6-DN$9,1,0)/($J$6+1)^DN$9)</f>
        <v>-44.564058794987382</v>
      </c>
      <c r="DO51" s="5">
        <f t="shared" si="145"/>
        <v>-44.564058794987382</v>
      </c>
      <c r="DP51" s="5">
        <f t="shared" si="112"/>
        <v>-44.564058794987382</v>
      </c>
      <c r="DQ51" s="5">
        <f t="shared" si="112"/>
        <v>-44.564058794987382</v>
      </c>
      <c r="DR51" s="5">
        <f t="shared" si="112"/>
        <v>-44.564058794987382</v>
      </c>
      <c r="DS51" s="5">
        <f t="shared" si="112"/>
        <v>-44.564058794987382</v>
      </c>
      <c r="DT51" s="5">
        <f t="shared" si="112"/>
        <v>-44.564058794987382</v>
      </c>
      <c r="DU51" s="5">
        <f t="shared" si="112"/>
        <v>-44.564058794987382</v>
      </c>
      <c r="DV51" s="5">
        <f t="shared" si="112"/>
        <v>-44.564058794987382</v>
      </c>
      <c r="DW51" s="5">
        <f t="shared" ref="DW51:ET51" si="146">PV($F24,DW$9,1,0)+(PV($J$6,$K$6-DW$9,1,0)/($J$6+1)^DW$9)</f>
        <v>-44.564058794987382</v>
      </c>
      <c r="DX51" s="5">
        <f t="shared" si="146"/>
        <v>-44.564058794987382</v>
      </c>
      <c r="DY51" s="5">
        <f t="shared" si="146"/>
        <v>-44.564058794987382</v>
      </c>
      <c r="DZ51" s="5">
        <f t="shared" si="146"/>
        <v>-44.564058794987382</v>
      </c>
      <c r="EA51" s="5">
        <f t="shared" si="146"/>
        <v>-44.564058794987382</v>
      </c>
      <c r="EB51" s="5">
        <f t="shared" si="146"/>
        <v>-44.564058794987382</v>
      </c>
      <c r="EC51" s="5">
        <f t="shared" si="146"/>
        <v>-44.564058794987382</v>
      </c>
      <c r="ED51" s="5">
        <f t="shared" si="146"/>
        <v>-44.564058794987382</v>
      </c>
      <c r="EE51" s="5">
        <f t="shared" si="146"/>
        <v>-44.564058794987382</v>
      </c>
      <c r="EF51" s="5">
        <f t="shared" si="146"/>
        <v>-44.564058794987382</v>
      </c>
      <c r="EG51" s="5">
        <f t="shared" si="146"/>
        <v>-44.564058794987382</v>
      </c>
      <c r="EH51" s="5">
        <f t="shared" si="146"/>
        <v>-44.564058794987382</v>
      </c>
      <c r="EI51" s="5">
        <f t="shared" si="146"/>
        <v>-44.564058794987382</v>
      </c>
      <c r="EJ51" s="5">
        <f t="shared" si="146"/>
        <v>-44.564058794987382</v>
      </c>
      <c r="EK51" s="5">
        <f t="shared" si="146"/>
        <v>-44.564058794987382</v>
      </c>
      <c r="EL51" s="5">
        <f t="shared" si="146"/>
        <v>-44.564058794987382</v>
      </c>
      <c r="EM51" s="5">
        <f t="shared" si="146"/>
        <v>-44.564058794987382</v>
      </c>
      <c r="EN51" s="5">
        <f t="shared" si="146"/>
        <v>-44.564058794987382</v>
      </c>
      <c r="EO51" s="5">
        <f t="shared" si="146"/>
        <v>-44.564058794987382</v>
      </c>
      <c r="EP51" s="5">
        <f t="shared" si="146"/>
        <v>-44.564058794987382</v>
      </c>
      <c r="EQ51" s="5">
        <f t="shared" si="146"/>
        <v>-44.564058794987382</v>
      </c>
      <c r="ER51" s="5">
        <f t="shared" si="146"/>
        <v>-44.564058794987382</v>
      </c>
      <c r="ES51" s="5">
        <f t="shared" si="146"/>
        <v>-44.564058794987382</v>
      </c>
      <c r="ET51" s="5">
        <f t="shared" si="146"/>
        <v>-44.564058794987382</v>
      </c>
      <c r="FF51" s="130" t="s">
        <v>398</v>
      </c>
      <c r="FG51" s="12">
        <v>2.1899999999999999E-2</v>
      </c>
      <c r="FH51" s="12">
        <v>120</v>
      </c>
      <c r="FI51" s="12">
        <v>2.0899999999999998E-2</v>
      </c>
      <c r="FJ51" s="82">
        <v>1.6399999999999998E-2</v>
      </c>
      <c r="FK51" s="134">
        <f t="shared" si="62"/>
        <v>3.0555555555555566E-4</v>
      </c>
      <c r="FL51">
        <f>VLOOKUP(FF51,'SIMULADOR COM SALDO'!$BF$22:$BS$268,13,FALSE)</f>
        <v>2.1899999999999999E-2</v>
      </c>
    </row>
    <row r="52" spans="7:168" hidden="1" x14ac:dyDescent="0.25">
      <c r="G52" s="5">
        <f t="shared" si="89"/>
        <v>-41.67312285825237</v>
      </c>
      <c r="H52" s="5">
        <f t="shared" si="134"/>
        <v>-41.676322204962972</v>
      </c>
      <c r="I52" s="5">
        <f t="shared" si="134"/>
        <v>-41.681035191246607</v>
      </c>
      <c r="J52" s="5">
        <f t="shared" si="134"/>
        <v>-41.687206519141881</v>
      </c>
      <c r="K52" s="5">
        <f t="shared" si="134"/>
        <v>-41.694782387928242</v>
      </c>
      <c r="L52" s="5">
        <f t="shared" si="134"/>
        <v>-41.7037104581782</v>
      </c>
      <c r="M52" s="5">
        <f t="shared" si="134"/>
        <v>-41.713939816618172</v>
      </c>
      <c r="N52" s="5">
        <f t="shared" si="134"/>
        <v>-41.725420941780605</v>
      </c>
      <c r="O52" s="5">
        <f t="shared" si="134"/>
        <v>-41.738105670430144</v>
      </c>
      <c r="P52" s="5">
        <f t="shared" si="134"/>
        <v>-41.751947164747271</v>
      </c>
      <c r="Q52" s="5">
        <f t="shared" si="134"/>
        <v>-41.766899880252929</v>
      </c>
      <c r="R52" s="5">
        <f t="shared" si="134"/>
        <v>-41.782919534458117</v>
      </c>
      <c r="S52" s="5">
        <f t="shared" si="134"/>
        <v>-41.799963076222689</v>
      </c>
      <c r="T52" s="5">
        <f t="shared" si="134"/>
        <v>-41.817988655808108</v>
      </c>
      <c r="U52" s="5">
        <f t="shared" si="134"/>
        <v>-41.83695559560897</v>
      </c>
      <c r="V52" s="5">
        <f t="shared" si="134"/>
        <v>-41.856824361548654</v>
      </c>
      <c r="W52" s="5">
        <f t="shared" si="134"/>
        <v>-41.877556535124626</v>
      </c>
      <c r="X52" s="5">
        <f t="shared" si="134"/>
        <v>-41.899114786089299</v>
      </c>
      <c r="Y52" s="5">
        <f t="shared" si="134"/>
        <v>-41.9214628457526</v>
      </c>
      <c r="Z52" s="5">
        <f t="shared" si="134"/>
        <v>-41.944565480892834</v>
      </c>
      <c r="AA52" s="5">
        <f t="shared" si="134"/>
        <v>-41.968388468262276</v>
      </c>
      <c r="AB52" s="5">
        <f t="shared" si="134"/>
        <v>-41.992898569675091</v>
      </c>
      <c r="AC52" s="5">
        <f t="shared" si="134"/>
        <v>-42.018063507664209</v>
      </c>
      <c r="AD52" s="5">
        <f t="shared" si="134"/>
        <v>-42.043851941695337</v>
      </c>
      <c r="AE52" s="5">
        <f t="shared" si="134"/>
        <v>-42.070233444925513</v>
      </c>
      <c r="AF52" s="5">
        <f t="shared" si="134"/>
        <v>-42.097178481494609</v>
      </c>
      <c r="AG52" s="5">
        <f t="shared" si="134"/>
        <v>-42.124658384337877</v>
      </c>
      <c r="AH52" s="5">
        <f t="shared" si="134"/>
        <v>-42.152645333508417</v>
      </c>
      <c r="AI52" s="5">
        <f t="shared" si="134"/>
        <v>-42.181112334998048</v>
      </c>
      <c r="AJ52" s="5">
        <f t="shared" si="134"/>
        <v>-42.210033200046013</v>
      </c>
      <c r="AK52" s="5">
        <f t="shared" si="134"/>
        <v>-42.239382524924622</v>
      </c>
      <c r="AL52" s="5">
        <f t="shared" si="134"/>
        <v>-42.269135671191407</v>
      </c>
      <c r="AM52" s="5">
        <f t="shared" si="134"/>
        <v>-42.299268746397516</v>
      </c>
      <c r="AN52" s="5">
        <f t="shared" si="134"/>
        <v>-42.329758585242431</v>
      </c>
      <c r="AO52" s="5">
        <f t="shared" si="134"/>
        <v>-42.360582731165067</v>
      </c>
      <c r="AP52" s="5">
        <f t="shared" si="134"/>
        <v>-42.391719418361717</v>
      </c>
      <c r="AQ52" s="5">
        <f t="shared" si="134"/>
        <v>-42.423147554221458</v>
      </c>
      <c r="AR52" s="5">
        <f t="shared" si="134"/>
        <v>-42.454846702169704</v>
      </c>
      <c r="AS52" s="5">
        <f t="shared" si="134"/>
        <v>-42.486797064911102</v>
      </c>
      <c r="AT52" s="5">
        <f t="shared" si="134"/>
        <v>-42.518979468062767</v>
      </c>
      <c r="AU52" s="5">
        <f t="shared" si="134"/>
        <v>-42.551375344169337</v>
      </c>
      <c r="AV52" s="5">
        <f t="shared" si="134"/>
        <v>-42.583966717091364</v>
      </c>
      <c r="AW52" s="5">
        <f t="shared" si="134"/>
        <v>-42.616736186758828</v>
      </c>
      <c r="AX52" s="5">
        <f t="shared" si="134"/>
        <v>-42.649666914281653</v>
      </c>
      <c r="AY52" s="5">
        <f t="shared" si="134"/>
        <v>-42.68274260740926</v>
      </c>
      <c r="AZ52" s="5">
        <f t="shared" si="134"/>
        <v>-42.715947506331609</v>
      </c>
      <c r="BA52" s="5">
        <f t="shared" si="134"/>
        <v>-42.749266369813895</v>
      </c>
      <c r="BB52" s="5">
        <f t="shared" si="134"/>
        <v>-42.782684461657681</v>
      </c>
      <c r="BC52" s="5">
        <f t="shared" si="134"/>
        <v>-42.816187537481127</v>
      </c>
      <c r="BD52" s="5">
        <f t="shared" si="134"/>
        <v>-42.849761831811236</v>
      </c>
      <c r="BE52" s="5">
        <f t="shared" si="134"/>
        <v>-42.883394045481154</v>
      </c>
      <c r="BF52" s="5">
        <f t="shared" si="134"/>
        <v>-42.917071333325786</v>
      </c>
      <c r="BG52" s="5">
        <f t="shared" si="134"/>
        <v>-42.950781292168934</v>
      </c>
      <c r="BH52" s="5">
        <f t="shared" si="134"/>
        <v>-42.984511949095648</v>
      </c>
      <c r="BI52" s="5">
        <f t="shared" si="134"/>
        <v>-43.01825175000328</v>
      </c>
      <c r="BJ52" s="5">
        <f t="shared" si="134"/>
        <v>-43.051989548424949</v>
      </c>
      <c r="BK52" s="5">
        <f t="shared" si="134"/>
        <v>-43.085714594619603</v>
      </c>
      <c r="BL52" s="5">
        <f t="shared" si="134"/>
        <v>-43.1194165249223</v>
      </c>
      <c r="BM52" s="5">
        <f t="shared" si="134"/>
        <v>-43.153085351349297</v>
      </c>
      <c r="BN52" s="5">
        <f t="shared" si="134"/>
        <v>-43.186711451451849</v>
      </c>
      <c r="BO52" s="5">
        <f t="shared" si="134"/>
        <v>-43.22028555841343</v>
      </c>
      <c r="BP52" s="5">
        <f t="shared" si="134"/>
        <v>-43.253798751384707</v>
      </c>
      <c r="BQ52" s="5">
        <f t="shared" si="134"/>
        <v>-43.287242446051039</v>
      </c>
      <c r="BR52" s="5">
        <f t="shared" si="134"/>
        <v>-43.320608385427171</v>
      </c>
      <c r="BS52" s="5">
        <f t="shared" si="134"/>
        <v>-43.353888630874103</v>
      </c>
      <c r="BT52" s="5">
        <f t="shared" si="114"/>
        <v>-43.387075553332998</v>
      </c>
      <c r="BU52" s="5">
        <f t="shared" si="114"/>
        <v>-43.42016182477137</v>
      </c>
      <c r="BV52" s="5">
        <f t="shared" si="114"/>
        <v>-43.4531404098366</v>
      </c>
      <c r="BW52" s="5">
        <f t="shared" si="114"/>
        <v>-43.486004557712221</v>
      </c>
      <c r="BX52" s="5">
        <f t="shared" si="114"/>
        <v>-43.518747794172313</v>
      </c>
      <c r="BY52" s="5">
        <f t="shared" si="114"/>
        <v>-43.551363913829519</v>
      </c>
      <c r="BZ52" s="5">
        <f t="shared" si="114"/>
        <v>-43.58384697257231</v>
      </c>
      <c r="CA52" s="5">
        <f t="shared" si="114"/>
        <v>-43.616191280187152</v>
      </c>
      <c r="CB52" s="5">
        <f t="shared" si="114"/>
        <v>-43.648391393161461</v>
      </c>
      <c r="CC52" s="5">
        <f t="shared" si="114"/>
        <v>-43.68044210766314</v>
      </c>
      <c r="CD52" s="5">
        <f t="shared" si="114"/>
        <v>-43.712338452692727</v>
      </c>
      <c r="CE52" s="5">
        <f t="shared" si="114"/>
        <v>-43.744075683404148</v>
      </c>
      <c r="CF52" s="5">
        <f t="shared" si="114"/>
        <v>-43.775649274590407</v>
      </c>
      <c r="CG52" s="5">
        <f t="shared" si="114"/>
        <v>-43.807054914330109</v>
      </c>
      <c r="CH52" s="5">
        <f t="shared" si="114"/>
        <v>-43.838288497791602</v>
      </c>
      <c r="CI52" s="5">
        <f t="shared" si="114"/>
        <v>-43.86934612119056</v>
      </c>
      <c r="CJ52" s="5">
        <f t="shared" si="114"/>
        <v>-43.900224075898109</v>
      </c>
      <c r="CK52" s="5">
        <f t="shared" si="114"/>
        <v>-43.930918842695462</v>
      </c>
      <c r="CL52" s="5">
        <f t="shared" si="114"/>
        <v>-43.961427086172158</v>
      </c>
      <c r="CM52" s="5">
        <f t="shared" si="114"/>
        <v>-43.961427086172158</v>
      </c>
      <c r="CN52" s="5">
        <f t="shared" si="114"/>
        <v>-43.961427086172158</v>
      </c>
      <c r="CO52" s="5">
        <f t="shared" si="114"/>
        <v>-43.961427086172158</v>
      </c>
      <c r="CP52" s="5">
        <f t="shared" si="114"/>
        <v>-43.961427086172158</v>
      </c>
      <c r="CQ52" s="5">
        <f t="shared" si="114"/>
        <v>-43.961427086172158</v>
      </c>
      <c r="CR52" s="5">
        <f t="shared" si="114"/>
        <v>-43.961427086172158</v>
      </c>
      <c r="CS52" s="5">
        <f t="shared" si="114"/>
        <v>-43.961427086172158</v>
      </c>
      <c r="CT52" s="5">
        <f t="shared" si="114"/>
        <v>-43.961427086172158</v>
      </c>
      <c r="CU52" s="5">
        <f t="shared" si="114"/>
        <v>-43.961427086172158</v>
      </c>
      <c r="CV52" s="5">
        <f t="shared" si="114"/>
        <v>-43.961427086172158</v>
      </c>
      <c r="CW52" s="5">
        <f t="shared" si="114"/>
        <v>-43.961427086172158</v>
      </c>
      <c r="CX52" s="5">
        <f t="shared" si="114"/>
        <v>-43.961427086172158</v>
      </c>
      <c r="CY52" s="5">
        <f t="shared" si="111"/>
        <v>-43.961427086172158</v>
      </c>
      <c r="CZ52" s="5">
        <f t="shared" si="111"/>
        <v>-43.961427086172158</v>
      </c>
      <c r="DA52" s="5">
        <f t="shared" si="111"/>
        <v>-43.961427086172158</v>
      </c>
      <c r="DB52" s="5">
        <f t="shared" ref="DB52:DC52" si="147">PV($F25,DB$9,1,0)+(PV($J$6,$K$6-DB$9,1,0)/($J$6+1)^DB$9)</f>
        <v>-43.961427086172158</v>
      </c>
      <c r="DC52" s="5">
        <f t="shared" si="147"/>
        <v>-43.961427086172158</v>
      </c>
      <c r="DD52" s="5">
        <f t="shared" si="111"/>
        <v>-43.961427086172158</v>
      </c>
      <c r="DE52" s="5">
        <f t="shared" ref="DE52:DF52" si="148">PV($F25,DE$9,1,0)+(PV($J$6,$K$6-DE$9,1,0)/($J$6+1)^DE$9)</f>
        <v>-43.961427086172158</v>
      </c>
      <c r="DF52" s="5">
        <f t="shared" si="148"/>
        <v>-43.961427086172158</v>
      </c>
      <c r="DG52" s="5">
        <f t="shared" si="111"/>
        <v>-43.961427086172158</v>
      </c>
      <c r="DH52" s="5">
        <f t="shared" ref="DH52:DI52" si="149">PV($F25,DH$9,1,0)+(PV($J$6,$K$6-DH$9,1,0)/($J$6+1)^DH$9)</f>
        <v>-43.961427086172158</v>
      </c>
      <c r="DI52" s="5">
        <f t="shared" si="149"/>
        <v>-43.961427086172158</v>
      </c>
      <c r="DJ52" s="5">
        <f t="shared" si="111"/>
        <v>-43.961427086172158</v>
      </c>
      <c r="DK52" s="5">
        <f t="shared" ref="DK52:DL52" si="150">PV($F25,DK$9,1,0)+(PV($J$6,$K$6-DK$9,1,0)/($J$6+1)^DK$9)</f>
        <v>-43.961427086172158</v>
      </c>
      <c r="DL52" s="5">
        <f t="shared" si="150"/>
        <v>-43.961427086172158</v>
      </c>
      <c r="DM52" s="5">
        <f t="shared" si="111"/>
        <v>-43.961427086172158</v>
      </c>
      <c r="DN52" s="5">
        <f t="shared" ref="DN52:DO52" si="151">PV($F25,DN$9,1,0)+(PV($J$6,$K$6-DN$9,1,0)/($J$6+1)^DN$9)</f>
        <v>-43.961427086172158</v>
      </c>
      <c r="DO52" s="5">
        <f t="shared" si="151"/>
        <v>-43.961427086172158</v>
      </c>
      <c r="DP52" s="5">
        <f t="shared" si="112"/>
        <v>-43.961427086172158</v>
      </c>
      <c r="DQ52" s="5">
        <f t="shared" si="112"/>
        <v>-43.961427086172158</v>
      </c>
      <c r="DR52" s="5">
        <f t="shared" si="112"/>
        <v>-43.961427086172158</v>
      </c>
      <c r="DS52" s="5">
        <f t="shared" si="112"/>
        <v>-43.961427086172158</v>
      </c>
      <c r="DT52" s="5">
        <f t="shared" si="112"/>
        <v>-43.961427086172158</v>
      </c>
      <c r="DU52" s="5">
        <f t="shared" si="112"/>
        <v>-43.961427086172158</v>
      </c>
      <c r="DV52" s="5">
        <f t="shared" si="112"/>
        <v>-43.961427086172158</v>
      </c>
      <c r="DW52" s="5">
        <f t="shared" ref="DW52:ET52" si="152">PV($F25,DW$9,1,0)+(PV($J$6,$K$6-DW$9,1,0)/($J$6+1)^DW$9)</f>
        <v>-43.961427086172158</v>
      </c>
      <c r="DX52" s="5">
        <f t="shared" si="152"/>
        <v>-43.961427086172158</v>
      </c>
      <c r="DY52" s="5">
        <f t="shared" si="152"/>
        <v>-43.961427086172158</v>
      </c>
      <c r="DZ52" s="5">
        <f t="shared" si="152"/>
        <v>-43.961427086172158</v>
      </c>
      <c r="EA52" s="5">
        <f t="shared" si="152"/>
        <v>-43.961427086172158</v>
      </c>
      <c r="EB52" s="5">
        <f t="shared" si="152"/>
        <v>-43.961427086172158</v>
      </c>
      <c r="EC52" s="5">
        <f t="shared" si="152"/>
        <v>-43.961427086172158</v>
      </c>
      <c r="ED52" s="5">
        <f t="shared" si="152"/>
        <v>-43.961427086172158</v>
      </c>
      <c r="EE52" s="5">
        <f t="shared" si="152"/>
        <v>-43.961427086172158</v>
      </c>
      <c r="EF52" s="5">
        <f t="shared" si="152"/>
        <v>-43.961427086172158</v>
      </c>
      <c r="EG52" s="5">
        <f t="shared" si="152"/>
        <v>-43.961427086172158</v>
      </c>
      <c r="EH52" s="5">
        <f t="shared" si="152"/>
        <v>-43.961427086172158</v>
      </c>
      <c r="EI52" s="5">
        <f t="shared" si="152"/>
        <v>-43.961427086172158</v>
      </c>
      <c r="EJ52" s="5">
        <f t="shared" si="152"/>
        <v>-43.961427086172158</v>
      </c>
      <c r="EK52" s="5">
        <f t="shared" si="152"/>
        <v>-43.961427086172158</v>
      </c>
      <c r="EL52" s="5">
        <f t="shared" si="152"/>
        <v>-43.961427086172158</v>
      </c>
      <c r="EM52" s="5">
        <f t="shared" si="152"/>
        <v>-43.961427086172158</v>
      </c>
      <c r="EN52" s="5">
        <f t="shared" si="152"/>
        <v>-43.961427086172158</v>
      </c>
      <c r="EO52" s="5">
        <f t="shared" si="152"/>
        <v>-43.961427086172158</v>
      </c>
      <c r="EP52" s="5">
        <f t="shared" si="152"/>
        <v>-43.961427086172158</v>
      </c>
      <c r="EQ52" s="5">
        <f t="shared" si="152"/>
        <v>-43.961427086172158</v>
      </c>
      <c r="ER52" s="5">
        <f t="shared" si="152"/>
        <v>-43.961427086172158</v>
      </c>
      <c r="ES52" s="5">
        <f t="shared" si="152"/>
        <v>-43.961427086172158</v>
      </c>
      <c r="ET52" s="5">
        <f t="shared" si="152"/>
        <v>-43.961427086172158</v>
      </c>
      <c r="FF52" s="130" t="s">
        <v>401</v>
      </c>
      <c r="FG52" s="12">
        <v>2.4E-2</v>
      </c>
      <c r="FH52" s="12">
        <v>120</v>
      </c>
      <c r="FI52" s="12">
        <v>1.8500000000000003E-2</v>
      </c>
      <c r="FJ52" s="82">
        <v>1.6500000000000001E-2</v>
      </c>
      <c r="FK52" s="134">
        <f t="shared" si="62"/>
        <v>4.1666666666666664E-4</v>
      </c>
      <c r="FL52">
        <f>VLOOKUP(FF52,'SIMULADOR COM SALDO'!$BF$22:$BS$268,13,FALSE)</f>
        <v>2.4E-2</v>
      </c>
    </row>
    <row r="53" spans="7:168" hidden="1" x14ac:dyDescent="0.25">
      <c r="G53" s="5">
        <f t="shared" si="89"/>
        <v>-41.672715132689149</v>
      </c>
      <c r="H53" s="5">
        <f t="shared" si="134"/>
        <v>-41.675113149452592</v>
      </c>
      <c r="I53" s="5">
        <f t="shared" si="134"/>
        <v>-41.678644955762529</v>
      </c>
      <c r="J53" s="5">
        <f t="shared" si="134"/>
        <v>-41.683268649663368</v>
      </c>
      <c r="K53" s="5">
        <f t="shared" si="134"/>
        <v>-41.688943476376053</v>
      </c>
      <c r="L53" s="5">
        <f t="shared" si="134"/>
        <v>-41.695629800457674</v>
      </c>
      <c r="M53" s="5">
        <f t="shared" si="134"/>
        <v>-41.703289078594004</v>
      </c>
      <c r="N53" s="5">
        <f t="shared" si="134"/>
        <v>-41.711883833011129</v>
      </c>
      <c r="O53" s="5">
        <f t="shared" si="134"/>
        <v>-41.721377625492622</v>
      </c>
      <c r="P53" s="5">
        <f t="shared" si="134"/>
        <v>-41.731735031988933</v>
      </c>
      <c r="Q53" s="5">
        <f t="shared" si="134"/>
        <v>-41.742921617806203</v>
      </c>
      <c r="R53" s="5">
        <f t="shared" si="134"/>
        <v>-41.754903913361858</v>
      </c>
      <c r="S53" s="5">
        <f t="shared" si="134"/>
        <v>-41.767649390494412</v>
      </c>
      <c r="T53" s="5">
        <f t="shared" si="134"/>
        <v>-41.781126439315372</v>
      </c>
      <c r="U53" s="5">
        <f t="shared" si="134"/>
        <v>-41.79530434559156</v>
      </c>
      <c r="V53" s="5">
        <f t="shared" si="134"/>
        <v>-41.810153268645955</v>
      </c>
      <c r="W53" s="5">
        <f t="shared" si="134"/>
        <v>-41.825644219765884</v>
      </c>
      <c r="X53" s="5">
        <f t="shared" si="134"/>
        <v>-41.841749041107249</v>
      </c>
      <c r="Y53" s="5">
        <f t="shared" si="134"/>
        <v>-41.858440385084116</v>
      </c>
      <c r="Z53" s="5">
        <f t="shared" si="134"/>
        <v>-41.875691694232714</v>
      </c>
      <c r="AA53" s="5">
        <f t="shared" si="134"/>
        <v>-41.893477181539666</v>
      </c>
      <c r="AB53" s="5">
        <f t="shared" si="134"/>
        <v>-41.91177181122405</v>
      </c>
      <c r="AC53" s="5">
        <f t="shared" si="134"/>
        <v>-41.930551279963389</v>
      </c>
      <c r="AD53" s="5">
        <f t="shared" si="134"/>
        <v>-41.949791998553749</v>
      </c>
      <c r="AE53" s="5">
        <f t="shared" si="134"/>
        <v>-41.969471073994399</v>
      </c>
      <c r="AF53" s="5">
        <f t="shared" si="134"/>
        <v>-41.989566291987565</v>
      </c>
      <c r="AG53" s="5">
        <f t="shared" si="134"/>
        <v>-42.010056099844206</v>
      </c>
      <c r="AH53" s="5">
        <f t="shared" si="134"/>
        <v>-42.030919589786905</v>
      </c>
      <c r="AI53" s="5">
        <f t="shared" si="134"/>
        <v>-42.052136482640812</v>
      </c>
      <c r="AJ53" s="5">
        <f t="shared" si="134"/>
        <v>-42.073687111904349</v>
      </c>
      <c r="AK53" s="5">
        <f t="shared" si="134"/>
        <v>-42.095552408191139</v>
      </c>
      <c r="AL53" s="5">
        <f t="shared" si="134"/>
        <v>-42.117713884034835</v>
      </c>
      <c r="AM53" s="5">
        <f t="shared" si="134"/>
        <v>-42.140153619049016</v>
      </c>
      <c r="AN53" s="5">
        <f t="shared" si="134"/>
        <v>-42.162854245434019</v>
      </c>
      <c r="AO53" s="5">
        <f t="shared" si="134"/>
        <v>-42.185798933823207</v>
      </c>
      <c r="AP53" s="5">
        <f t="shared" si="134"/>
        <v>-42.208971379461005</v>
      </c>
      <c r="AQ53" s="5">
        <f t="shared" si="134"/>
        <v>-42.232355788705377</v>
      </c>
      <c r="AR53" s="5">
        <f t="shared" si="134"/>
        <v>-42.255936865847374</v>
      </c>
      <c r="AS53" s="5">
        <f t="shared" si="134"/>
        <v>-42.279699800241019</v>
      </c>
      <c r="AT53" s="5">
        <f t="shared" si="134"/>
        <v>-42.303630253736181</v>
      </c>
      <c r="AU53" s="5">
        <f t="shared" si="134"/>
        <v>-42.327714348408044</v>
      </c>
      <c r="AV53" s="5">
        <f t="shared" si="134"/>
        <v>-42.35193865457623</v>
      </c>
      <c r="AW53" s="5">
        <f t="shared" si="134"/>
        <v>-42.376290179107443</v>
      </c>
      <c r="AX53" s="5">
        <f t="shared" si="134"/>
        <v>-42.400756353994893</v>
      </c>
      <c r="AY53" s="5">
        <f t="shared" si="134"/>
        <v>-42.425325025208743</v>
      </c>
      <c r="AZ53" s="5">
        <f t="shared" si="134"/>
        <v>-42.449984441810983</v>
      </c>
      <c r="BA53" s="5">
        <f t="shared" si="134"/>
        <v>-42.474723245329407</v>
      </c>
      <c r="BB53" s="5">
        <f t="shared" si="134"/>
        <v>-42.499530459384296</v>
      </c>
      <c r="BC53" s="5">
        <f t="shared" si="134"/>
        <v>-42.524395479562557</v>
      </c>
      <c r="BD53" s="5">
        <f t="shared" si="134"/>
        <v>-42.549308063533452</v>
      </c>
      <c r="BE53" s="5">
        <f t="shared" si="134"/>
        <v>-42.574258321400755</v>
      </c>
      <c r="BF53" s="5">
        <f t="shared" si="134"/>
        <v>-42.59923670628573</v>
      </c>
      <c r="BG53" s="5">
        <f t="shared" si="134"/>
        <v>-42.624234005136003</v>
      </c>
      <c r="BH53" s="5">
        <f t="shared" si="134"/>
        <v>-42.64924132975495</v>
      </c>
      <c r="BI53" s="5">
        <f t="shared" si="134"/>
        <v>-42.674250108046891</v>
      </c>
      <c r="BJ53" s="5">
        <f t="shared" si="134"/>
        <v>-42.699252075472984</v>
      </c>
      <c r="BK53" s="5">
        <f t="shared" si="134"/>
        <v>-42.724239266713255</v>
      </c>
      <c r="BL53" s="5">
        <f t="shared" si="134"/>
        <v>-42.749204007529869</v>
      </c>
      <c r="BM53" s="5">
        <f t="shared" si="134"/>
        <v>-42.774138906827332</v>
      </c>
      <c r="BN53" s="5">
        <f t="shared" si="134"/>
        <v>-42.799036848904919</v>
      </c>
      <c r="BO53" s="5">
        <f t="shared" si="134"/>
        <v>-42.823890985897144</v>
      </c>
      <c r="BP53" s="5">
        <f t="shared" si="134"/>
        <v>-42.848694730397938</v>
      </c>
      <c r="BQ53" s="5">
        <f t="shared" si="134"/>
        <v>-42.873441748264248</v>
      </c>
      <c r="BR53" s="5">
        <f t="shared" si="134"/>
        <v>-42.898125951595198</v>
      </c>
      <c r="BS53" s="5">
        <f t="shared" ref="BS53" si="153">PV($F26,BS$9,1,0)+(PV($J$6,$K$6-BS$9,1,0)/($J$6+1)^BS$9)</f>
        <v>-42.922741491882583</v>
      </c>
      <c r="BT53" s="5">
        <f t="shared" si="114"/>
        <v>-42.947282753328921</v>
      </c>
      <c r="BU53" s="5">
        <f t="shared" si="114"/>
        <v>-42.971744346329231</v>
      </c>
      <c r="BV53" s="5">
        <f t="shared" si="114"/>
        <v>-42.996121101112685</v>
      </c>
      <c r="BW53" s="5">
        <f t="shared" si="114"/>
        <v>-43.020408061540657</v>
      </c>
      <c r="BX53" s="5">
        <f t="shared" si="114"/>
        <v>-43.044600479057365</v>
      </c>
      <c r="BY53" s="5">
        <f t="shared" si="114"/>
        <v>-43.068693806789874</v>
      </c>
      <c r="BZ53" s="5">
        <f t="shared" si="114"/>
        <v>-43.092683693793738</v>
      </c>
      <c r="CA53" s="5">
        <f t="shared" si="114"/>
        <v>-43.116565979441205</v>
      </c>
      <c r="CB53" s="5">
        <f t="shared" si="114"/>
        <v>-43.140336687948491</v>
      </c>
      <c r="CC53" s="5">
        <f t="shared" si="114"/>
        <v>-43.16399202303905</v>
      </c>
      <c r="CD53" s="5">
        <f t="shared" si="114"/>
        <v>-43.187528362739727</v>
      </c>
      <c r="CE53" s="5">
        <f t="shared" si="114"/>
        <v>-43.210942254306538</v>
      </c>
      <c r="CF53" s="5">
        <f t="shared" si="114"/>
        <v>-43.234230409277401</v>
      </c>
      <c r="CG53" s="5">
        <f t="shared" si="114"/>
        <v>-43.25738969864851</v>
      </c>
      <c r="CH53" s="5">
        <f t="shared" si="114"/>
        <v>-43.280417148171821</v>
      </c>
      <c r="CI53" s="5">
        <f t="shared" si="114"/>
        <v>-43.303309933770606</v>
      </c>
      <c r="CJ53" s="5">
        <f t="shared" si="114"/>
        <v>-43.326065377070542</v>
      </c>
      <c r="CK53" s="5">
        <f t="shared" si="114"/>
        <v>-43.348680941043412</v>
      </c>
      <c r="CL53" s="5">
        <f t="shared" si="114"/>
        <v>-43.371154225761053</v>
      </c>
      <c r="CM53" s="5">
        <f t="shared" si="114"/>
        <v>-43.371154225761053</v>
      </c>
      <c r="CN53" s="5">
        <f t="shared" si="114"/>
        <v>-43.371154225761053</v>
      </c>
      <c r="CO53" s="5">
        <f t="shared" si="114"/>
        <v>-43.371154225761053</v>
      </c>
      <c r="CP53" s="5">
        <f t="shared" si="114"/>
        <v>-43.371154225761053</v>
      </c>
      <c r="CQ53" s="5">
        <f t="shared" si="114"/>
        <v>-43.371154225761053</v>
      </c>
      <c r="CR53" s="5">
        <f t="shared" si="114"/>
        <v>-43.371154225761053</v>
      </c>
      <c r="CS53" s="5">
        <f t="shared" si="114"/>
        <v>-43.371154225761053</v>
      </c>
      <c r="CT53" s="5">
        <f t="shared" si="114"/>
        <v>-43.371154225761053</v>
      </c>
      <c r="CU53" s="5">
        <f t="shared" si="114"/>
        <v>-43.371154225761053</v>
      </c>
      <c r="CV53" s="5">
        <f t="shared" si="114"/>
        <v>-43.371154225761053</v>
      </c>
      <c r="CW53" s="5">
        <f t="shared" si="114"/>
        <v>-43.371154225761053</v>
      </c>
      <c r="CX53" s="5">
        <f t="shared" si="114"/>
        <v>-43.371154225761053</v>
      </c>
      <c r="CY53" s="5">
        <f t="shared" si="111"/>
        <v>-43.371154225761053</v>
      </c>
      <c r="CZ53" s="5">
        <f t="shared" si="111"/>
        <v>-43.371154225761053</v>
      </c>
      <c r="DA53" s="5">
        <f t="shared" si="111"/>
        <v>-43.371154225761053</v>
      </c>
      <c r="DB53" s="5">
        <f t="shared" ref="DB53:DC53" si="154">PV($F26,DB$9,1,0)+(PV($J$6,$K$6-DB$9,1,0)/($J$6+1)^DB$9)</f>
        <v>-43.371154225761053</v>
      </c>
      <c r="DC53" s="5">
        <f t="shared" si="154"/>
        <v>-43.371154225761053</v>
      </c>
      <c r="DD53" s="5">
        <f t="shared" si="111"/>
        <v>-43.371154225761053</v>
      </c>
      <c r="DE53" s="5">
        <f t="shared" ref="DE53:DF53" si="155">PV($F26,DE$9,1,0)+(PV($J$6,$K$6-DE$9,1,0)/($J$6+1)^DE$9)</f>
        <v>-43.371154225761053</v>
      </c>
      <c r="DF53" s="5">
        <f t="shared" si="155"/>
        <v>-43.371154225761053</v>
      </c>
      <c r="DG53" s="5">
        <f t="shared" si="111"/>
        <v>-43.371154225761053</v>
      </c>
      <c r="DH53" s="5">
        <f t="shared" ref="DH53:DI53" si="156">PV($F26,DH$9,1,0)+(PV($J$6,$K$6-DH$9,1,0)/($J$6+1)^DH$9)</f>
        <v>-43.371154225761053</v>
      </c>
      <c r="DI53" s="5">
        <f t="shared" si="156"/>
        <v>-43.371154225761053</v>
      </c>
      <c r="DJ53" s="5">
        <f t="shared" si="111"/>
        <v>-43.371154225761053</v>
      </c>
      <c r="DK53" s="5">
        <f t="shared" ref="DK53:DL53" si="157">PV($F26,DK$9,1,0)+(PV($J$6,$K$6-DK$9,1,0)/($J$6+1)^DK$9)</f>
        <v>-43.371154225761053</v>
      </c>
      <c r="DL53" s="5">
        <f t="shared" si="157"/>
        <v>-43.371154225761053</v>
      </c>
      <c r="DM53" s="5">
        <f t="shared" si="111"/>
        <v>-43.371154225761053</v>
      </c>
      <c r="DN53" s="5">
        <f t="shared" ref="DN53:DO53" si="158">PV($F26,DN$9,1,0)+(PV($J$6,$K$6-DN$9,1,0)/($J$6+1)^DN$9)</f>
        <v>-43.371154225761053</v>
      </c>
      <c r="DO53" s="5">
        <f t="shared" si="158"/>
        <v>-43.371154225761053</v>
      </c>
      <c r="DP53" s="5">
        <f t="shared" si="112"/>
        <v>-43.371154225761053</v>
      </c>
      <c r="DQ53" s="5">
        <f t="shared" si="112"/>
        <v>-43.371154225761053</v>
      </c>
      <c r="DR53" s="5">
        <f t="shared" si="112"/>
        <v>-43.371154225761053</v>
      </c>
      <c r="DS53" s="5">
        <f t="shared" si="112"/>
        <v>-43.371154225761053</v>
      </c>
      <c r="DT53" s="5">
        <f t="shared" si="112"/>
        <v>-43.371154225761053</v>
      </c>
      <c r="DU53" s="5">
        <f t="shared" si="112"/>
        <v>-43.371154225761053</v>
      </c>
      <c r="DV53" s="5">
        <f t="shared" si="112"/>
        <v>-43.371154225761053</v>
      </c>
      <c r="DW53" s="5">
        <f t="shared" ref="DW53:ET53" si="159">PV($F26,DW$9,1,0)+(PV($J$6,$K$6-DW$9,1,0)/($J$6+1)^DW$9)</f>
        <v>-43.371154225761053</v>
      </c>
      <c r="DX53" s="5">
        <f t="shared" si="159"/>
        <v>-43.371154225761053</v>
      </c>
      <c r="DY53" s="5">
        <f t="shared" si="159"/>
        <v>-43.371154225761053</v>
      </c>
      <c r="DZ53" s="5">
        <f t="shared" si="159"/>
        <v>-43.371154225761053</v>
      </c>
      <c r="EA53" s="5">
        <f t="shared" si="159"/>
        <v>-43.371154225761053</v>
      </c>
      <c r="EB53" s="5">
        <f t="shared" si="159"/>
        <v>-43.371154225761053</v>
      </c>
      <c r="EC53" s="5">
        <f t="shared" si="159"/>
        <v>-43.371154225761053</v>
      </c>
      <c r="ED53" s="5">
        <f t="shared" si="159"/>
        <v>-43.371154225761053</v>
      </c>
      <c r="EE53" s="5">
        <f t="shared" si="159"/>
        <v>-43.371154225761053</v>
      </c>
      <c r="EF53" s="5">
        <f t="shared" si="159"/>
        <v>-43.371154225761053</v>
      </c>
      <c r="EG53" s="5">
        <f t="shared" si="159"/>
        <v>-43.371154225761053</v>
      </c>
      <c r="EH53" s="5">
        <f t="shared" si="159"/>
        <v>-43.371154225761053</v>
      </c>
      <c r="EI53" s="5">
        <f t="shared" si="159"/>
        <v>-43.371154225761053</v>
      </c>
      <c r="EJ53" s="5">
        <f t="shared" si="159"/>
        <v>-43.371154225761053</v>
      </c>
      <c r="EK53" s="5">
        <f t="shared" si="159"/>
        <v>-43.371154225761053</v>
      </c>
      <c r="EL53" s="5">
        <f t="shared" si="159"/>
        <v>-43.371154225761053</v>
      </c>
      <c r="EM53" s="5">
        <f t="shared" si="159"/>
        <v>-43.371154225761053</v>
      </c>
      <c r="EN53" s="5">
        <f t="shared" si="159"/>
        <v>-43.371154225761053</v>
      </c>
      <c r="EO53" s="5">
        <f t="shared" si="159"/>
        <v>-43.371154225761053</v>
      </c>
      <c r="EP53" s="5">
        <f t="shared" si="159"/>
        <v>-43.371154225761053</v>
      </c>
      <c r="EQ53" s="5">
        <f t="shared" si="159"/>
        <v>-43.371154225761053</v>
      </c>
      <c r="ER53" s="5">
        <f t="shared" si="159"/>
        <v>-43.371154225761053</v>
      </c>
      <c r="ES53" s="5">
        <f t="shared" si="159"/>
        <v>-43.371154225761053</v>
      </c>
      <c r="ET53" s="5">
        <f t="shared" si="159"/>
        <v>-43.371154225761053</v>
      </c>
      <c r="FF53" s="130" t="s">
        <v>215</v>
      </c>
      <c r="FG53" s="12">
        <v>2.5000000000000001E-2</v>
      </c>
      <c r="FH53" s="12">
        <v>96</v>
      </c>
      <c r="FI53" s="12">
        <v>2.35E-2</v>
      </c>
      <c r="FJ53" s="82">
        <v>2.1000000000000001E-2</v>
      </c>
      <c r="FK53" s="134">
        <f t="shared" si="62"/>
        <v>2.2222222222222223E-4</v>
      </c>
      <c r="FL53">
        <f>VLOOKUP(FF53,'SIMULADOR COM SALDO'!$BF$22:$BS$268,13,FALSE)</f>
        <v>2.5000000000000001E-2</v>
      </c>
    </row>
    <row r="54" spans="7:168" hidden="1" x14ac:dyDescent="0.25">
      <c r="G54" s="5">
        <f t="shared" si="89"/>
        <v>-41.67230774525477</v>
      </c>
      <c r="H54" s="5">
        <f t="shared" ref="H54:BS56" si="160">PV($F27,H$9,1,0)+(PV($J$6,$K$6-H$9,1,0)/($J$6+1)^H$9)</f>
        <v>-41.673905428684797</v>
      </c>
      <c r="I54" s="5">
        <f t="shared" si="160"/>
        <v>-41.676258013325679</v>
      </c>
      <c r="J54" s="5">
        <f t="shared" si="160"/>
        <v>-41.679337279888394</v>
      </c>
      <c r="K54" s="5">
        <f t="shared" si="160"/>
        <v>-41.683115790237665</v>
      </c>
      <c r="L54" s="5">
        <f t="shared" si="160"/>
        <v>-41.687566868228757</v>
      </c>
      <c r="M54" s="5">
        <f t="shared" si="160"/>
        <v>-41.692664580984626</v>
      </c>
      <c r="N54" s="5">
        <f t="shared" si="160"/>
        <v>-41.698383720603616</v>
      </c>
      <c r="O54" s="5">
        <f t="shared" si="160"/>
        <v>-41.704699786288138</v>
      </c>
      <c r="P54" s="5">
        <f t="shared" si="160"/>
        <v>-41.711588966885088</v>
      </c>
      <c r="Q54" s="5">
        <f t="shared" si="160"/>
        <v>-41.719028123828963</v>
      </c>
      <c r="R54" s="5">
        <f t="shared" si="160"/>
        <v>-41.726994774478733</v>
      </c>
      <c r="S54" s="5">
        <f t="shared" si="160"/>
        <v>-41.735467075839708</v>
      </c>
      <c r="T54" s="5">
        <f t="shared" si="160"/>
        <v>-41.744423808661985</v>
      </c>
      <c r="U54" s="5">
        <f t="shared" si="160"/>
        <v>-41.753844361907014</v>
      </c>
      <c r="V54" s="5">
        <f t="shared" si="160"/>
        <v>-41.763708717574254</v>
      </c>
      <c r="W54" s="5">
        <f t="shared" si="160"/>
        <v>-41.773997435879863</v>
      </c>
      <c r="X54" s="5">
        <f t="shared" si="160"/>
        <v>-41.784691640779613</v>
      </c>
      <c r="Y54" s="5">
        <f t="shared" si="160"/>
        <v>-41.795773005828352</v>
      </c>
      <c r="Z54" s="5">
        <f t="shared" si="160"/>
        <v>-41.807223740368698</v>
      </c>
      <c r="AA54" s="5">
        <f t="shared" si="160"/>
        <v>-41.819026576041367</v>
      </c>
      <c r="AB54" s="5">
        <f t="shared" si="160"/>
        <v>-41.831164753610274</v>
      </c>
      <c r="AC54" s="5">
        <f t="shared" si="160"/>
        <v>-41.843622010095231</v>
      </c>
      <c r="AD54" s="5">
        <f t="shared" si="160"/>
        <v>-41.856382566205347</v>
      </c>
      <c r="AE54" s="5">
        <f t="shared" si="160"/>
        <v>-41.8694311140666</v>
      </c>
      <c r="AF54" s="5">
        <f t="shared" si="160"/>
        <v>-41.882752805236848</v>
      </c>
      <c r="AG54" s="5">
        <f t="shared" si="160"/>
        <v>-41.896333239002004</v>
      </c>
      <c r="AH54" s="5">
        <f t="shared" si="160"/>
        <v>-41.910158450946881</v>
      </c>
      <c r="AI54" s="5">
        <f t="shared" si="160"/>
        <v>-41.924214901794898</v>
      </c>
      <c r="AJ54" s="5">
        <f t="shared" si="160"/>
        <v>-41.938489466510291</v>
      </c>
      <c r="AK54" s="5">
        <f t="shared" si="160"/>
        <v>-41.952969423657116</v>
      </c>
      <c r="AL54" s="5">
        <f t="shared" si="160"/>
        <v>-41.967642445009346</v>
      </c>
      <c r="AM54" s="5">
        <f t="shared" si="160"/>
        <v>-41.982496585406253</v>
      </c>
      <c r="AN54" s="5">
        <f t="shared" si="160"/>
        <v>-41.997520272847765</v>
      </c>
      <c r="AO54" s="5">
        <f t="shared" si="160"/>
        <v>-42.012702298824273</v>
      </c>
      <c r="AP54" s="5">
        <f t="shared" si="160"/>
        <v>-42.02803180887561</v>
      </c>
      <c r="AQ54" s="5">
        <f t="shared" si="160"/>
        <v>-42.043498293374206</v>
      </c>
      <c r="AR54" s="5">
        <f t="shared" si="160"/>
        <v>-42.05909157852718</v>
      </c>
      <c r="AS54" s="5">
        <f t="shared" si="160"/>
        <v>-42.074801817592551</v>
      </c>
      <c r="AT54" s="5">
        <f t="shared" si="160"/>
        <v>-42.090619482304689</v>
      </c>
      <c r="AU54" s="5">
        <f t="shared" si="160"/>
        <v>-42.106535354504352</v>
      </c>
      <c r="AV54" s="5">
        <f t="shared" si="160"/>
        <v>-42.122540517968531</v>
      </c>
      <c r="AW54" s="5">
        <f t="shared" si="160"/>
        <v>-42.138626350435892</v>
      </c>
      <c r="AX54" s="5">
        <f t="shared" si="160"/>
        <v>-42.154784515822968</v>
      </c>
      <c r="AY54" s="5">
        <f t="shared" si="160"/>
        <v>-42.171006956627139</v>
      </c>
      <c r="AZ54" s="5">
        <f t="shared" si="160"/>
        <v>-42.187285886512079</v>
      </c>
      <c r="BA54" s="5">
        <f t="shared" si="160"/>
        <v>-42.203613783071333</v>
      </c>
      <c r="BB54" s="5">
        <f t="shared" si="160"/>
        <v>-42.219983380766308</v>
      </c>
      <c r="BC54" s="5">
        <f t="shared" si="160"/>
        <v>-42.23638766403441</v>
      </c>
      <c r="BD54" s="5">
        <f t="shared" si="160"/>
        <v>-42.252819860563747</v>
      </c>
      <c r="BE54" s="5">
        <f t="shared" si="160"/>
        <v>-42.269273434730259</v>
      </c>
      <c r="BF54" s="5">
        <f t="shared" si="160"/>
        <v>-42.285742081193966</v>
      </c>
      <c r="BG54" s="5">
        <f t="shared" si="160"/>
        <v>-42.30221971865042</v>
      </c>
      <c r="BH54" s="5">
        <f t="shared" si="160"/>
        <v>-42.318700483733878</v>
      </c>
      <c r="BI54" s="5">
        <f t="shared" si="160"/>
        <v>-42.335178725068879</v>
      </c>
      <c r="BJ54" s="5">
        <f t="shared" si="160"/>
        <v>-42.351648997466604</v>
      </c>
      <c r="BK54" s="5">
        <f t="shared" si="160"/>
        <v>-42.368106056262945</v>
      </c>
      <c r="BL54" s="5">
        <f t="shared" si="160"/>
        <v>-42.384544851794793</v>
      </c>
      <c r="BM54" s="5">
        <f t="shared" si="160"/>
        <v>-42.400960524011609</v>
      </c>
      <c r="BN54" s="5">
        <f t="shared" si="160"/>
        <v>-42.41734839721898</v>
      </c>
      <c r="BO54" s="5">
        <f t="shared" si="160"/>
        <v>-42.433703974951314</v>
      </c>
      <c r="BP54" s="5">
        <f t="shared" si="160"/>
        <v>-42.450022934970512</v>
      </c>
      <c r="BQ54" s="5">
        <f t="shared" si="160"/>
        <v>-42.466301124387883</v>
      </c>
      <c r="BR54" s="5">
        <f t="shared" si="160"/>
        <v>-42.482534554906373</v>
      </c>
      <c r="BS54" s="5">
        <f t="shared" si="160"/>
        <v>-42.498719398180356</v>
      </c>
      <c r="BT54" s="5">
        <f t="shared" si="114"/>
        <v>-42.514851981290292</v>
      </c>
      <c r="BU54" s="5">
        <f t="shared" si="114"/>
        <v>-42.530928782329561</v>
      </c>
      <c r="BV54" s="5">
        <f t="shared" si="114"/>
        <v>-42.546946426100959</v>
      </c>
      <c r="BW54" s="5">
        <f t="shared" si="114"/>
        <v>-42.562901679920166</v>
      </c>
      <c r="BX54" s="5">
        <f t="shared" si="114"/>
        <v>-42.578791449523919</v>
      </c>
      <c r="BY54" s="5">
        <f t="shared" si="114"/>
        <v>-42.59461277508025</v>
      </c>
      <c r="BZ54" s="5">
        <f t="shared" si="114"/>
        <v>-42.610362827298601</v>
      </c>
      <c r="CA54" s="5">
        <f t="shared" si="114"/>
        <v>-42.626038903637323</v>
      </c>
      <c r="CB54" s="5">
        <f t="shared" si="114"/>
        <v>-42.641638424606484</v>
      </c>
      <c r="CC54" s="5">
        <f t="shared" si="114"/>
        <v>-42.657158930163575</v>
      </c>
      <c r="CD54" s="5">
        <f t="shared" si="114"/>
        <v>-42.672598076200096</v>
      </c>
      <c r="CE54" s="5">
        <f t="shared" si="114"/>
        <v>-42.687953631116791</v>
      </c>
      <c r="CF54" s="5">
        <f t="shared" si="114"/>
        <v>-42.703223472485639</v>
      </c>
      <c r="CG54" s="5">
        <f t="shared" si="114"/>
        <v>-42.718405583796248</v>
      </c>
      <c r="CH54" s="5">
        <f t="shared" si="114"/>
        <v>-42.733498051285054</v>
      </c>
      <c r="CI54" s="5">
        <f t="shared" si="114"/>
        <v>-42.748499060845106</v>
      </c>
      <c r="CJ54" s="5">
        <f t="shared" si="114"/>
        <v>-42.763406895014697</v>
      </c>
      <c r="CK54" s="5">
        <f t="shared" si="114"/>
        <v>-42.778219930042923</v>
      </c>
      <c r="CL54" s="5">
        <f t="shared" si="114"/>
        <v>-42.792936633030308</v>
      </c>
      <c r="CM54" s="5">
        <f t="shared" si="114"/>
        <v>-42.792936633030308</v>
      </c>
      <c r="CN54" s="5">
        <f t="shared" si="114"/>
        <v>-42.792936633030308</v>
      </c>
      <c r="CO54" s="5">
        <f t="shared" si="114"/>
        <v>-42.792936633030308</v>
      </c>
      <c r="CP54" s="5">
        <f t="shared" si="114"/>
        <v>-42.792936633030308</v>
      </c>
      <c r="CQ54" s="5">
        <f t="shared" si="114"/>
        <v>-42.792936633030308</v>
      </c>
      <c r="CR54" s="5">
        <f t="shared" si="114"/>
        <v>-42.792936633030308</v>
      </c>
      <c r="CS54" s="5">
        <f t="shared" si="114"/>
        <v>-42.792936633030308</v>
      </c>
      <c r="CT54" s="5">
        <f t="shared" si="114"/>
        <v>-42.792936633030308</v>
      </c>
      <c r="CU54" s="5">
        <f t="shared" si="114"/>
        <v>-42.792936633030308</v>
      </c>
      <c r="CV54" s="5">
        <f t="shared" si="114"/>
        <v>-42.792936633030308</v>
      </c>
      <c r="CW54" s="5">
        <f t="shared" si="114"/>
        <v>-42.792936633030308</v>
      </c>
      <c r="CX54" s="5">
        <f t="shared" si="114"/>
        <v>-42.792936633030308</v>
      </c>
      <c r="CY54" s="5">
        <f t="shared" si="111"/>
        <v>-42.792936633030308</v>
      </c>
      <c r="CZ54" s="5">
        <f t="shared" si="111"/>
        <v>-42.792936633030308</v>
      </c>
      <c r="DA54" s="5">
        <f t="shared" si="111"/>
        <v>-42.792936633030308</v>
      </c>
      <c r="DB54" s="5">
        <f t="shared" ref="DB54:DC54" si="161">PV($F27,DB$9,1,0)+(PV($J$6,$K$6-DB$9,1,0)/($J$6+1)^DB$9)</f>
        <v>-42.792936633030308</v>
      </c>
      <c r="DC54" s="5">
        <f t="shared" si="161"/>
        <v>-42.792936633030308</v>
      </c>
      <c r="DD54" s="5">
        <f t="shared" si="111"/>
        <v>-42.792936633030308</v>
      </c>
      <c r="DE54" s="5">
        <f t="shared" ref="DE54:DF54" si="162">PV($F27,DE$9,1,0)+(PV($J$6,$K$6-DE$9,1,0)/($J$6+1)^DE$9)</f>
        <v>-42.792936633030308</v>
      </c>
      <c r="DF54" s="5">
        <f t="shared" si="162"/>
        <v>-42.792936633030308</v>
      </c>
      <c r="DG54" s="5">
        <f t="shared" si="111"/>
        <v>-42.792936633030308</v>
      </c>
      <c r="DH54" s="5">
        <f t="shared" ref="DH54:DI54" si="163">PV($F27,DH$9,1,0)+(PV($J$6,$K$6-DH$9,1,0)/($J$6+1)^DH$9)</f>
        <v>-42.792936633030308</v>
      </c>
      <c r="DI54" s="5">
        <f t="shared" si="163"/>
        <v>-42.792936633030308</v>
      </c>
      <c r="DJ54" s="5">
        <f t="shared" si="111"/>
        <v>-42.792936633030308</v>
      </c>
      <c r="DK54" s="5">
        <f t="shared" ref="DK54:DL54" si="164">PV($F27,DK$9,1,0)+(PV($J$6,$K$6-DK$9,1,0)/($J$6+1)^DK$9)</f>
        <v>-42.792936633030308</v>
      </c>
      <c r="DL54" s="5">
        <f t="shared" si="164"/>
        <v>-42.792936633030308</v>
      </c>
      <c r="DM54" s="5">
        <f t="shared" si="111"/>
        <v>-42.792936633030308</v>
      </c>
      <c r="DN54" s="5">
        <f t="shared" ref="DN54:DO54" si="165">PV($F27,DN$9,1,0)+(PV($J$6,$K$6-DN$9,1,0)/($J$6+1)^DN$9)</f>
        <v>-42.792936633030308</v>
      </c>
      <c r="DO54" s="5">
        <f t="shared" si="165"/>
        <v>-42.792936633030308</v>
      </c>
      <c r="DP54" s="5">
        <f t="shared" si="112"/>
        <v>-42.792936633030308</v>
      </c>
      <c r="DQ54" s="5">
        <f t="shared" si="112"/>
        <v>-42.792936633030308</v>
      </c>
      <c r="DR54" s="5">
        <f t="shared" si="112"/>
        <v>-42.792936633030308</v>
      </c>
      <c r="DS54" s="5">
        <f t="shared" si="112"/>
        <v>-42.792936633030308</v>
      </c>
      <c r="DT54" s="5">
        <f t="shared" si="112"/>
        <v>-42.792936633030308</v>
      </c>
      <c r="DU54" s="5">
        <f t="shared" si="112"/>
        <v>-42.792936633030308</v>
      </c>
      <c r="DV54" s="5">
        <f t="shared" si="112"/>
        <v>-42.792936633030308</v>
      </c>
      <c r="DW54" s="5">
        <f t="shared" ref="DW54:ET54" si="166">PV($F27,DW$9,1,0)+(PV($J$6,$K$6-DW$9,1,0)/($J$6+1)^DW$9)</f>
        <v>-42.792936633030308</v>
      </c>
      <c r="DX54" s="5">
        <f t="shared" si="166"/>
        <v>-42.792936633030308</v>
      </c>
      <c r="DY54" s="5">
        <f t="shared" si="166"/>
        <v>-42.792936633030308</v>
      </c>
      <c r="DZ54" s="5">
        <f t="shared" si="166"/>
        <v>-42.792936633030308</v>
      </c>
      <c r="EA54" s="5">
        <f t="shared" si="166"/>
        <v>-42.792936633030308</v>
      </c>
      <c r="EB54" s="5">
        <f t="shared" si="166"/>
        <v>-42.792936633030308</v>
      </c>
      <c r="EC54" s="5">
        <f t="shared" si="166"/>
        <v>-42.792936633030308</v>
      </c>
      <c r="ED54" s="5">
        <f t="shared" si="166"/>
        <v>-42.792936633030308</v>
      </c>
      <c r="EE54" s="5">
        <f t="shared" si="166"/>
        <v>-42.792936633030308</v>
      </c>
      <c r="EF54" s="5">
        <f t="shared" si="166"/>
        <v>-42.792936633030308</v>
      </c>
      <c r="EG54" s="5">
        <f t="shared" si="166"/>
        <v>-42.792936633030308</v>
      </c>
      <c r="EH54" s="5">
        <f t="shared" si="166"/>
        <v>-42.792936633030308</v>
      </c>
      <c r="EI54" s="5">
        <f t="shared" si="166"/>
        <v>-42.792936633030308</v>
      </c>
      <c r="EJ54" s="5">
        <f t="shared" si="166"/>
        <v>-42.792936633030308</v>
      </c>
      <c r="EK54" s="5">
        <f t="shared" si="166"/>
        <v>-42.792936633030308</v>
      </c>
      <c r="EL54" s="5">
        <f t="shared" si="166"/>
        <v>-42.792936633030308</v>
      </c>
      <c r="EM54" s="5">
        <f t="shared" si="166"/>
        <v>-42.792936633030308</v>
      </c>
      <c r="EN54" s="5">
        <f t="shared" si="166"/>
        <v>-42.792936633030308</v>
      </c>
      <c r="EO54" s="5">
        <f t="shared" si="166"/>
        <v>-42.792936633030308</v>
      </c>
      <c r="EP54" s="5">
        <f t="shared" si="166"/>
        <v>-42.792936633030308</v>
      </c>
      <c r="EQ54" s="5">
        <f t="shared" si="166"/>
        <v>-42.792936633030308</v>
      </c>
      <c r="ER54" s="5">
        <f t="shared" si="166"/>
        <v>-42.792936633030308</v>
      </c>
      <c r="ES54" s="5">
        <f t="shared" si="166"/>
        <v>-42.792936633030308</v>
      </c>
      <c r="ET54" s="5">
        <f t="shared" si="166"/>
        <v>-42.792936633030308</v>
      </c>
      <c r="FF54" s="130" t="s">
        <v>408</v>
      </c>
      <c r="FG54" s="12">
        <v>0.05</v>
      </c>
      <c r="FH54" s="12">
        <v>120</v>
      </c>
      <c r="FI54" s="12">
        <v>2.2499999999999999E-2</v>
      </c>
      <c r="FJ54" s="82">
        <v>0.02</v>
      </c>
      <c r="FK54" s="134">
        <f t="shared" si="62"/>
        <v>1.6666666666666668E-3</v>
      </c>
      <c r="FL54">
        <f>VLOOKUP(FF54,'SIMULADOR COM SALDO'!$BF$22:$BS$268,13,FALSE)</f>
        <v>0.05</v>
      </c>
    </row>
    <row r="55" spans="7:168" hidden="1" x14ac:dyDescent="0.25">
      <c r="G55" s="5">
        <f t="shared" si="89"/>
        <v>-41.671900695528819</v>
      </c>
      <c r="H55" s="5">
        <f t="shared" si="160"/>
        <v>-41.672699040587226</v>
      </c>
      <c r="I55" s="5">
        <f t="shared" si="160"/>
        <v>-41.673874357807016</v>
      </c>
      <c r="J55" s="5">
        <f t="shared" si="160"/>
        <v>-41.675412395718311</v>
      </c>
      <c r="K55" s="5">
        <f t="shared" si="160"/>
        <v>-41.67729930171479</v>
      </c>
      <c r="L55" s="5">
        <f t="shared" si="160"/>
        <v>-41.679521612162262</v>
      </c>
      <c r="M55" s="5">
        <f t="shared" si="160"/>
        <v>-41.682066242736923</v>
      </c>
      <c r="N55" s="5">
        <f t="shared" si="160"/>
        <v>-41.684920478988253</v>
      </c>
      <c r="O55" s="5">
        <f t="shared" si="160"/>
        <v>-41.68807196712131</v>
      </c>
      <c r="P55" s="5">
        <f t="shared" si="160"/>
        <v>-41.6915087049939</v>
      </c>
      <c r="Q55" s="5">
        <f t="shared" si="160"/>
        <v>-41.695219033323355</v>
      </c>
      <c r="R55" s="5">
        <f t="shared" si="160"/>
        <v>-41.699191627098784</v>
      </c>
      <c r="S55" s="5">
        <f t="shared" si="160"/>
        <v>-41.703415487193695</v>
      </c>
      <c r="T55" s="5">
        <f t="shared" si="160"/>
        <v>-41.707879932174805</v>
      </c>
      <c r="U55" s="5">
        <f t="shared" si="160"/>
        <v>-41.712574590302609</v>
      </c>
      <c r="V55" s="5">
        <f t="shared" si="160"/>
        <v>-41.717489391719283</v>
      </c>
      <c r="W55" s="5">
        <f t="shared" si="160"/>
        <v>-41.72261456081992</v>
      </c>
      <c r="X55" s="5">
        <f t="shared" si="160"/>
        <v>-41.727940608802804</v>
      </c>
      <c r="Y55" s="5">
        <f t="shared" si="160"/>
        <v>-41.733458326394803</v>
      </c>
      <c r="Z55" s="5">
        <f t="shared" si="160"/>
        <v>-41.739158776747949</v>
      </c>
      <c r="AA55" s="5">
        <f t="shared" si="160"/>
        <v>-41.745033288503308</v>
      </c>
      <c r="AB55" s="5">
        <f t="shared" si="160"/>
        <v>-41.751073449018406</v>
      </c>
      <c r="AC55" s="5">
        <f t="shared" si="160"/>
        <v>-41.757271097754611</v>
      </c>
      <c r="AD55" s="5">
        <f t="shared" si="160"/>
        <v>-41.763618319820637</v>
      </c>
      <c r="AE55" s="5">
        <f t="shared" si="160"/>
        <v>-41.770107439668919</v>
      </c>
      <c r="AF55" s="5">
        <f t="shared" si="160"/>
        <v>-41.776731014941326</v>
      </c>
      <c r="AG55" s="5">
        <f t="shared" si="160"/>
        <v>-41.783481830460602</v>
      </c>
      <c r="AH55" s="5">
        <f t="shared" si="160"/>
        <v>-41.790352892364766</v>
      </c>
      <c r="AI55" s="5">
        <f t="shared" si="160"/>
        <v>-41.797337422380679</v>
      </c>
      <c r="AJ55" s="5">
        <f t="shared" si="160"/>
        <v>-41.804428852233926</v>
      </c>
      <c r="AK55" s="5">
        <f t="shared" si="160"/>
        <v>-41.811620818192019</v>
      </c>
      <c r="AL55" s="5">
        <f t="shared" si="160"/>
        <v>-41.818907155737563</v>
      </c>
      <c r="AM55" s="5">
        <f t="shared" si="160"/>
        <v>-41.826281894368734</v>
      </c>
      <c r="AN55" s="5">
        <f t="shared" si="160"/>
        <v>-41.833739252524154</v>
      </c>
      <c r="AO55" s="5">
        <f t="shared" si="160"/>
        <v>-41.841273632629097</v>
      </c>
      <c r="AP55" s="5">
        <f t="shared" si="160"/>
        <v>-41.848879616260589</v>
      </c>
      <c r="AQ55" s="5">
        <f t="shared" si="160"/>
        <v>-41.856551959428508</v>
      </c>
      <c r="AR55" s="5">
        <f t="shared" si="160"/>
        <v>-41.864285587969995</v>
      </c>
      <c r="AS55" s="5">
        <f t="shared" si="160"/>
        <v>-41.872075593054838</v>
      </c>
      <c r="AT55" s="5">
        <f t="shared" si="160"/>
        <v>-41.879917226799044</v>
      </c>
      <c r="AU55" s="5">
        <f t="shared" si="160"/>
        <v>-41.887805897984215</v>
      </c>
      <c r="AV55" s="5">
        <f t="shared" si="160"/>
        <v>-41.895737167880441</v>
      </c>
      <c r="AW55" s="5">
        <f t="shared" si="160"/>
        <v>-41.903706746170108</v>
      </c>
      <c r="AX55" s="5">
        <f t="shared" si="160"/>
        <v>-41.91171048697052</v>
      </c>
      <c r="AY55" s="5">
        <f t="shared" si="160"/>
        <v>-41.919744384952956</v>
      </c>
      <c r="AZ55" s="5">
        <f t="shared" si="160"/>
        <v>-41.927804571555995</v>
      </c>
      <c r="BA55" s="5">
        <f t="shared" si="160"/>
        <v>-41.935887311290955</v>
      </c>
      <c r="BB55" s="5">
        <f t="shared" si="160"/>
        <v>-41.943988998137321</v>
      </c>
      <c r="BC55" s="5">
        <f t="shared" si="160"/>
        <v>-41.952106152025998</v>
      </c>
      <c r="BD55" s="5">
        <f t="shared" si="160"/>
        <v>-41.960235415408647</v>
      </c>
      <c r="BE55" s="5">
        <f t="shared" si="160"/>
        <v>-41.968373549910773</v>
      </c>
      <c r="BF55" s="5">
        <f t="shared" si="160"/>
        <v>-41.976517433066888</v>
      </c>
      <c r="BG55" s="5">
        <f t="shared" si="160"/>
        <v>-41.984664055135731</v>
      </c>
      <c r="BH55" s="5">
        <f t="shared" si="160"/>
        <v>-41.992810515993781</v>
      </c>
      <c r="BI55" s="5">
        <f t="shared" si="160"/>
        <v>-42.000954022105205</v>
      </c>
      <c r="BJ55" s="5">
        <f t="shared" si="160"/>
        <v>-42.009091883566413</v>
      </c>
      <c r="BK55" s="5">
        <f t="shared" si="160"/>
        <v>-42.017221511223703</v>
      </c>
      <c r="BL55" s="5">
        <f t="shared" si="160"/>
        <v>-42.025340413862011</v>
      </c>
      <c r="BM55" s="5">
        <f t="shared" si="160"/>
        <v>-42.033446195463412</v>
      </c>
      <c r="BN55" s="5">
        <f t="shared" si="160"/>
        <v>-42.041536552533479</v>
      </c>
      <c r="BO55" s="5">
        <f t="shared" si="160"/>
        <v>-42.049609271494177</v>
      </c>
      <c r="BP55" s="5">
        <f t="shared" si="160"/>
        <v>-42.057662226141574</v>
      </c>
      <c r="BQ55" s="5">
        <f t="shared" si="160"/>
        <v>-42.065693375166887</v>
      </c>
      <c r="BR55" s="5">
        <f t="shared" si="160"/>
        <v>-42.073700759739474</v>
      </c>
      <c r="BS55" s="5">
        <f t="shared" si="160"/>
        <v>-42.081682501150233</v>
      </c>
      <c r="BT55" s="5">
        <f t="shared" si="114"/>
        <v>-42.089636798514036</v>
      </c>
      <c r="BU55" s="5">
        <f t="shared" si="114"/>
        <v>-42.097561926529842</v>
      </c>
      <c r="BV55" s="5">
        <f t="shared" si="114"/>
        <v>-42.105456233297055</v>
      </c>
      <c r="BW55" s="5">
        <f t="shared" si="114"/>
        <v>-42.11331813818699</v>
      </c>
      <c r="BX55" s="5">
        <f t="shared" si="114"/>
        <v>-42.121146129767887</v>
      </c>
      <c r="BY55" s="5">
        <f t="shared" si="114"/>
        <v>-42.128938763782472</v>
      </c>
      <c r="BZ55" s="5">
        <f t="shared" si="114"/>
        <v>-42.136694661176698</v>
      </c>
      <c r="CA55" s="5">
        <f t="shared" ref="CA55:CX55" si="167">PV($F28,CA$9,1,0)+(PV($J$6,$K$6-CA$9,1,0)/($J$6+1)^CA$9)</f>
        <v>-42.144412506178497</v>
      </c>
      <c r="CB55" s="5">
        <f t="shared" si="167"/>
        <v>-42.152091044425333</v>
      </c>
      <c r="CC55" s="5">
        <f t="shared" si="167"/>
        <v>-42.159729081139446</v>
      </c>
      <c r="CD55" s="5">
        <f t="shared" si="167"/>
        <v>-42.167325479349692</v>
      </c>
      <c r="CE55" s="5">
        <f t="shared" si="167"/>
        <v>-42.174879158158767</v>
      </c>
      <c r="CF55" s="5">
        <f t="shared" si="167"/>
        <v>-42.182389091054866</v>
      </c>
      <c r="CG55" s="5">
        <f t="shared" si="167"/>
        <v>-42.18985430426666</v>
      </c>
      <c r="CH55" s="5">
        <f t="shared" si="167"/>
        <v>-42.197273875160548</v>
      </c>
      <c r="CI55" s="5">
        <f t="shared" si="167"/>
        <v>-42.204646930679232</v>
      </c>
      <c r="CJ55" s="5">
        <f t="shared" si="167"/>
        <v>-42.211972645820666</v>
      </c>
      <c r="CK55" s="5">
        <f t="shared" si="167"/>
        <v>-42.219250242156257</v>
      </c>
      <c r="CL55" s="5">
        <f t="shared" si="167"/>
        <v>-42.226478986387555</v>
      </c>
      <c r="CM55" s="5">
        <f t="shared" si="167"/>
        <v>-42.226478986387555</v>
      </c>
      <c r="CN55" s="5">
        <f t="shared" si="167"/>
        <v>-42.226478986387555</v>
      </c>
      <c r="CO55" s="5">
        <f t="shared" si="167"/>
        <v>-42.226478986387555</v>
      </c>
      <c r="CP55" s="5">
        <f t="shared" si="167"/>
        <v>-42.226478986387555</v>
      </c>
      <c r="CQ55" s="5">
        <f t="shared" si="167"/>
        <v>-42.226478986387555</v>
      </c>
      <c r="CR55" s="5">
        <f t="shared" si="167"/>
        <v>-42.226478986387555</v>
      </c>
      <c r="CS55" s="5">
        <f t="shared" si="167"/>
        <v>-42.226478986387555</v>
      </c>
      <c r="CT55" s="5">
        <f t="shared" si="167"/>
        <v>-42.226478986387555</v>
      </c>
      <c r="CU55" s="5">
        <f t="shared" si="167"/>
        <v>-42.226478986387555</v>
      </c>
      <c r="CV55" s="5">
        <f t="shared" si="167"/>
        <v>-42.226478986387555</v>
      </c>
      <c r="CW55" s="5">
        <f t="shared" si="167"/>
        <v>-42.226478986387555</v>
      </c>
      <c r="CX55" s="5">
        <f t="shared" si="167"/>
        <v>-42.226478986387555</v>
      </c>
      <c r="CY55" s="5">
        <f t="shared" ref="CY55:DA55" si="168">PV($F28,CY$9,1,0)+(PV($J$6,$K$6-CY$9,1,0)/($J$6+1)^CY$9)</f>
        <v>-42.226478986387555</v>
      </c>
      <c r="CZ55" s="5">
        <f t="shared" si="168"/>
        <v>-42.226478986387555</v>
      </c>
      <c r="DA55" s="5">
        <f t="shared" si="168"/>
        <v>-42.226478986387555</v>
      </c>
      <c r="DB55" s="5">
        <f t="shared" ref="DB55:DV55" si="169">PV($F28,DB$9,1,0)+(PV($J$6,$K$6-DB$9,1,0)/($J$6+1)^DB$9)</f>
        <v>-42.226478986387555</v>
      </c>
      <c r="DC55" s="5">
        <f t="shared" si="169"/>
        <v>-42.226478986387555</v>
      </c>
      <c r="DD55" s="5">
        <f t="shared" si="169"/>
        <v>-42.226478986387555</v>
      </c>
      <c r="DE55" s="5">
        <f t="shared" si="169"/>
        <v>-42.226478986387555</v>
      </c>
      <c r="DF55" s="5">
        <f t="shared" si="169"/>
        <v>-42.226478986387555</v>
      </c>
      <c r="DG55" s="5">
        <f t="shared" si="169"/>
        <v>-42.226478986387555</v>
      </c>
      <c r="DH55" s="5">
        <f t="shared" si="169"/>
        <v>-42.226478986387555</v>
      </c>
      <c r="DI55" s="5">
        <f t="shared" si="169"/>
        <v>-42.226478986387555</v>
      </c>
      <c r="DJ55" s="5">
        <f t="shared" si="169"/>
        <v>-42.226478986387555</v>
      </c>
      <c r="DK55" s="5">
        <f t="shared" si="169"/>
        <v>-42.226478986387555</v>
      </c>
      <c r="DL55" s="5">
        <f t="shared" si="169"/>
        <v>-42.226478986387555</v>
      </c>
      <c r="DM55" s="5">
        <f t="shared" si="169"/>
        <v>-42.226478986387555</v>
      </c>
      <c r="DN55" s="5">
        <f t="shared" si="169"/>
        <v>-42.226478986387555</v>
      </c>
      <c r="DO55" s="5">
        <f t="shared" si="169"/>
        <v>-42.226478986387555</v>
      </c>
      <c r="DP55" s="5">
        <f t="shared" si="169"/>
        <v>-42.226478986387555</v>
      </c>
      <c r="DQ55" s="5">
        <f t="shared" si="169"/>
        <v>-42.226478986387555</v>
      </c>
      <c r="DR55" s="5">
        <f t="shared" si="169"/>
        <v>-42.226478986387555</v>
      </c>
      <c r="DS55" s="5">
        <f t="shared" si="169"/>
        <v>-42.226478986387555</v>
      </c>
      <c r="DT55" s="5">
        <f t="shared" si="169"/>
        <v>-42.226478986387555</v>
      </c>
      <c r="DU55" s="5">
        <f t="shared" si="169"/>
        <v>-42.226478986387555</v>
      </c>
      <c r="DV55" s="5">
        <f t="shared" si="169"/>
        <v>-42.226478986387555</v>
      </c>
      <c r="DW55" s="5">
        <f t="shared" ref="DW55:ET55" si="170">PV($F28,DW$9,1,0)+(PV($J$6,$K$6-DW$9,1,0)/($J$6+1)^DW$9)</f>
        <v>-42.226478986387555</v>
      </c>
      <c r="DX55" s="5">
        <f t="shared" si="170"/>
        <v>-42.226478986387555</v>
      </c>
      <c r="DY55" s="5">
        <f t="shared" si="170"/>
        <v>-42.226478986387555</v>
      </c>
      <c r="DZ55" s="5">
        <f t="shared" si="170"/>
        <v>-42.226478986387555</v>
      </c>
      <c r="EA55" s="5">
        <f t="shared" si="170"/>
        <v>-42.226478986387555</v>
      </c>
      <c r="EB55" s="5">
        <f t="shared" si="170"/>
        <v>-42.226478986387555</v>
      </c>
      <c r="EC55" s="5">
        <f t="shared" si="170"/>
        <v>-42.226478986387555</v>
      </c>
      <c r="ED55" s="5">
        <f t="shared" si="170"/>
        <v>-42.226478986387555</v>
      </c>
      <c r="EE55" s="5">
        <f t="shared" si="170"/>
        <v>-42.226478986387555</v>
      </c>
      <c r="EF55" s="5">
        <f t="shared" si="170"/>
        <v>-42.226478986387555</v>
      </c>
      <c r="EG55" s="5">
        <f t="shared" si="170"/>
        <v>-42.226478986387555</v>
      </c>
      <c r="EH55" s="5">
        <f t="shared" si="170"/>
        <v>-42.226478986387555</v>
      </c>
      <c r="EI55" s="5">
        <f t="shared" si="170"/>
        <v>-42.226478986387555</v>
      </c>
      <c r="EJ55" s="5">
        <f t="shared" si="170"/>
        <v>-42.226478986387555</v>
      </c>
      <c r="EK55" s="5">
        <f t="shared" si="170"/>
        <v>-42.226478986387555</v>
      </c>
      <c r="EL55" s="5">
        <f t="shared" si="170"/>
        <v>-42.226478986387555</v>
      </c>
      <c r="EM55" s="5">
        <f t="shared" si="170"/>
        <v>-42.226478986387555</v>
      </c>
      <c r="EN55" s="5">
        <f t="shared" si="170"/>
        <v>-42.226478986387555</v>
      </c>
      <c r="EO55" s="5">
        <f t="shared" si="170"/>
        <v>-42.226478986387555</v>
      </c>
      <c r="EP55" s="5">
        <f t="shared" si="170"/>
        <v>-42.226478986387555</v>
      </c>
      <c r="EQ55" s="5">
        <f t="shared" si="170"/>
        <v>-42.226478986387555</v>
      </c>
      <c r="ER55" s="5">
        <f t="shared" si="170"/>
        <v>-42.226478986387555</v>
      </c>
      <c r="ES55" s="5">
        <f t="shared" si="170"/>
        <v>-42.226478986387555</v>
      </c>
      <c r="ET55" s="5">
        <f t="shared" si="170"/>
        <v>-42.226478986387555</v>
      </c>
      <c r="FF55" s="130" t="s">
        <v>480</v>
      </c>
      <c r="FG55" s="12">
        <v>2.1899999999999999E-2</v>
      </c>
      <c r="FH55" s="12">
        <v>120</v>
      </c>
      <c r="FI55" s="12">
        <v>1.9900000000000001E-2</v>
      </c>
      <c r="FJ55" s="82">
        <v>1.7399999999999999E-2</v>
      </c>
      <c r="FK55" s="134">
        <f t="shared" si="62"/>
        <v>2.5000000000000001E-4</v>
      </c>
      <c r="FL55">
        <f>VLOOKUP(FF55,'SIMULADOR COM SALDO'!$BF$22:$BS$268,13,FALSE)</f>
        <v>2.1899999999999999E-2</v>
      </c>
    </row>
    <row r="56" spans="7:168" hidden="1" x14ac:dyDescent="0.25">
      <c r="G56" s="5">
        <f t="shared" si="89"/>
        <v>-41.671493983091523</v>
      </c>
      <c r="H56" s="5">
        <f t="shared" si="160"/>
        <v>-41.671493983091516</v>
      </c>
      <c r="I56" s="5">
        <f t="shared" si="160"/>
        <v>-41.671493983091516</v>
      </c>
      <c r="J56" s="5">
        <f t="shared" si="160"/>
        <v>-41.671493983091516</v>
      </c>
      <c r="K56" s="5">
        <f t="shared" si="160"/>
        <v>-41.671493983091516</v>
      </c>
      <c r="L56" s="5">
        <f t="shared" si="160"/>
        <v>-41.671493983091523</v>
      </c>
      <c r="M56" s="5">
        <f t="shared" si="160"/>
        <v>-41.671493983091523</v>
      </c>
      <c r="N56" s="5">
        <f t="shared" si="160"/>
        <v>-41.671493983091516</v>
      </c>
      <c r="O56" s="5">
        <f t="shared" si="160"/>
        <v>-41.671493983091516</v>
      </c>
      <c r="P56" s="5">
        <f t="shared" si="160"/>
        <v>-41.671493983091523</v>
      </c>
      <c r="Q56" s="5">
        <f t="shared" si="160"/>
        <v>-41.671493983091523</v>
      </c>
      <c r="R56" s="5">
        <f t="shared" si="160"/>
        <v>-41.671493983091523</v>
      </c>
      <c r="S56" s="5">
        <f t="shared" si="160"/>
        <v>-41.671493983091516</v>
      </c>
      <c r="T56" s="5">
        <f t="shared" si="160"/>
        <v>-41.671493983091523</v>
      </c>
      <c r="U56" s="5">
        <f t="shared" si="160"/>
        <v>-41.671493983091523</v>
      </c>
      <c r="V56" s="5">
        <f t="shared" si="160"/>
        <v>-41.671493983091516</v>
      </c>
      <c r="W56" s="5">
        <f t="shared" si="160"/>
        <v>-41.671493983091516</v>
      </c>
      <c r="X56" s="5">
        <f t="shared" si="160"/>
        <v>-41.671493983091516</v>
      </c>
      <c r="Y56" s="5">
        <f t="shared" si="160"/>
        <v>-41.671493983091516</v>
      </c>
      <c r="Z56" s="5">
        <f t="shared" si="160"/>
        <v>-41.671493983091516</v>
      </c>
      <c r="AA56" s="5">
        <f t="shared" si="160"/>
        <v>-41.671493983091523</v>
      </c>
      <c r="AB56" s="5">
        <f t="shared" si="160"/>
        <v>-41.671493983091523</v>
      </c>
      <c r="AC56" s="5">
        <f t="shared" si="160"/>
        <v>-41.671493983091516</v>
      </c>
      <c r="AD56" s="5">
        <f t="shared" si="160"/>
        <v>-41.671493983091523</v>
      </c>
      <c r="AE56" s="5">
        <f t="shared" si="160"/>
        <v>-41.671493983091523</v>
      </c>
      <c r="AF56" s="5">
        <f t="shared" si="160"/>
        <v>-41.671493983091523</v>
      </c>
      <c r="AG56" s="5">
        <f t="shared" si="160"/>
        <v>-41.671493983091523</v>
      </c>
      <c r="AH56" s="5">
        <f t="shared" si="160"/>
        <v>-41.671493983091523</v>
      </c>
      <c r="AI56" s="5">
        <f t="shared" si="160"/>
        <v>-41.671493983091523</v>
      </c>
      <c r="AJ56" s="5">
        <f t="shared" si="160"/>
        <v>-41.671493983091523</v>
      </c>
      <c r="AK56" s="5">
        <f t="shared" si="160"/>
        <v>-41.671493983091523</v>
      </c>
      <c r="AL56" s="5">
        <f t="shared" si="160"/>
        <v>-41.671493983091523</v>
      </c>
      <c r="AM56" s="5">
        <f t="shared" si="160"/>
        <v>-41.671493983091523</v>
      </c>
      <c r="AN56" s="5">
        <f t="shared" si="160"/>
        <v>-41.671493983091523</v>
      </c>
      <c r="AO56" s="5">
        <f t="shared" si="160"/>
        <v>-41.671493983091523</v>
      </c>
      <c r="AP56" s="5">
        <f t="shared" si="160"/>
        <v>-41.671493983091523</v>
      </c>
      <c r="AQ56" s="5">
        <f t="shared" si="160"/>
        <v>-41.671493983091516</v>
      </c>
      <c r="AR56" s="5">
        <f t="shared" si="160"/>
        <v>-41.671493983091523</v>
      </c>
      <c r="AS56" s="5">
        <f t="shared" si="160"/>
        <v>-41.671493983091516</v>
      </c>
      <c r="AT56" s="5">
        <f t="shared" si="160"/>
        <v>-41.671493983091523</v>
      </c>
      <c r="AU56" s="5">
        <f t="shared" si="160"/>
        <v>-41.671493983091523</v>
      </c>
      <c r="AV56" s="5">
        <f t="shared" si="160"/>
        <v>-41.671493983091516</v>
      </c>
      <c r="AW56" s="5">
        <f t="shared" si="160"/>
        <v>-41.671493983091523</v>
      </c>
      <c r="AX56" s="5">
        <f t="shared" si="160"/>
        <v>-41.671493983091523</v>
      </c>
      <c r="AY56" s="5">
        <f t="shared" si="160"/>
        <v>-41.671493983091516</v>
      </c>
      <c r="AZ56" s="5">
        <f t="shared" si="160"/>
        <v>-41.671493983091523</v>
      </c>
      <c r="BA56" s="5">
        <f t="shared" si="160"/>
        <v>-41.671493983091516</v>
      </c>
      <c r="BB56" s="5">
        <f t="shared" si="160"/>
        <v>-41.671493983091523</v>
      </c>
      <c r="BC56" s="5">
        <f t="shared" si="160"/>
        <v>-41.671493983091523</v>
      </c>
      <c r="BD56" s="5">
        <f t="shared" si="160"/>
        <v>-41.671493983091523</v>
      </c>
      <c r="BE56" s="5">
        <f t="shared" si="160"/>
        <v>-41.671493983091523</v>
      </c>
      <c r="BF56" s="5">
        <f t="shared" si="160"/>
        <v>-41.671493983091523</v>
      </c>
      <c r="BG56" s="5">
        <f t="shared" si="160"/>
        <v>-41.671493983091516</v>
      </c>
      <c r="BH56" s="5">
        <f t="shared" si="160"/>
        <v>-41.671493983091516</v>
      </c>
      <c r="BI56" s="5">
        <f t="shared" si="160"/>
        <v>-41.671493983091523</v>
      </c>
      <c r="BJ56" s="5">
        <f t="shared" si="160"/>
        <v>-41.671493983091523</v>
      </c>
      <c r="BK56" s="5">
        <f t="shared" si="160"/>
        <v>-41.671493983091523</v>
      </c>
      <c r="BL56" s="5">
        <f t="shared" si="160"/>
        <v>-41.671493983091523</v>
      </c>
      <c r="BM56" s="5">
        <f t="shared" si="160"/>
        <v>-41.671493983091523</v>
      </c>
      <c r="BN56" s="5">
        <f t="shared" si="160"/>
        <v>-41.671493983091523</v>
      </c>
      <c r="BO56" s="5">
        <f t="shared" si="160"/>
        <v>-41.671493983091516</v>
      </c>
      <c r="BP56" s="5">
        <f t="shared" si="160"/>
        <v>-41.671493983091523</v>
      </c>
      <c r="BQ56" s="5">
        <f t="shared" si="160"/>
        <v>-41.671493983091523</v>
      </c>
      <c r="BR56" s="5">
        <f t="shared" si="160"/>
        <v>-41.671493983091516</v>
      </c>
      <c r="BS56" s="5">
        <f t="shared" si="160"/>
        <v>-41.671493983091516</v>
      </c>
      <c r="BT56" s="5">
        <f t="shared" ref="BT56:CX56" si="171">PV($F29,BT$9,1,0)+(PV($J$6,$K$6-BT$9,1,0)/($J$6+1)^BT$9)</f>
        <v>-41.671493983091516</v>
      </c>
      <c r="BU56" s="5">
        <f t="shared" si="171"/>
        <v>-41.671493983091516</v>
      </c>
      <c r="BV56" s="5">
        <f t="shared" si="171"/>
        <v>-41.671493983091516</v>
      </c>
      <c r="BW56" s="5">
        <f t="shared" si="171"/>
        <v>-41.671493983091523</v>
      </c>
      <c r="BX56" s="5">
        <f t="shared" si="171"/>
        <v>-41.671493983091523</v>
      </c>
      <c r="BY56" s="5">
        <f t="shared" si="171"/>
        <v>-41.671493983091516</v>
      </c>
      <c r="BZ56" s="5">
        <f t="shared" si="171"/>
        <v>-41.671493983091523</v>
      </c>
      <c r="CA56" s="5">
        <f t="shared" si="171"/>
        <v>-41.671493983091523</v>
      </c>
      <c r="CB56" s="5">
        <f t="shared" si="171"/>
        <v>-41.671493983091523</v>
      </c>
      <c r="CC56" s="5">
        <f t="shared" si="171"/>
        <v>-41.671493983091516</v>
      </c>
      <c r="CD56" s="5">
        <f t="shared" si="171"/>
        <v>-41.671493983091523</v>
      </c>
      <c r="CE56" s="5">
        <f t="shared" si="171"/>
        <v>-41.671493983091516</v>
      </c>
      <c r="CF56" s="5">
        <f t="shared" si="171"/>
        <v>-41.671493983091523</v>
      </c>
      <c r="CG56" s="5">
        <f t="shared" si="171"/>
        <v>-41.671493983091516</v>
      </c>
      <c r="CH56" s="5">
        <f t="shared" si="171"/>
        <v>-41.671493983091523</v>
      </c>
      <c r="CI56" s="5">
        <f t="shared" si="171"/>
        <v>-41.671493983091523</v>
      </c>
      <c r="CJ56" s="5">
        <f t="shared" si="171"/>
        <v>-41.671493983091523</v>
      </c>
      <c r="CK56" s="5">
        <f t="shared" si="171"/>
        <v>-41.671493983091523</v>
      </c>
      <c r="CL56" s="5">
        <f t="shared" si="171"/>
        <v>-41.671493983091516</v>
      </c>
      <c r="CM56" s="5">
        <f t="shared" si="171"/>
        <v>-41.671493983091516</v>
      </c>
      <c r="CN56" s="5">
        <f t="shared" si="171"/>
        <v>-41.671493983091516</v>
      </c>
      <c r="CO56" s="5">
        <f t="shared" si="171"/>
        <v>-41.671493983091516</v>
      </c>
      <c r="CP56" s="5">
        <f t="shared" si="171"/>
        <v>-41.671493983091516</v>
      </c>
      <c r="CQ56" s="5">
        <f t="shared" si="171"/>
        <v>-41.671493983091516</v>
      </c>
      <c r="CR56" s="5">
        <f t="shared" si="171"/>
        <v>-41.671493983091516</v>
      </c>
      <c r="CS56" s="5">
        <f t="shared" si="171"/>
        <v>-41.671493983091516</v>
      </c>
      <c r="CT56" s="5">
        <f t="shared" si="171"/>
        <v>-41.671493983091516</v>
      </c>
      <c r="CU56" s="5">
        <f t="shared" si="171"/>
        <v>-41.671493983091516</v>
      </c>
      <c r="CV56" s="5">
        <f t="shared" si="171"/>
        <v>-41.671493983091516</v>
      </c>
      <c r="CW56" s="5">
        <f t="shared" si="171"/>
        <v>-41.671493983091516</v>
      </c>
      <c r="CX56" s="5">
        <f t="shared" si="171"/>
        <v>-41.671493983091516</v>
      </c>
      <c r="CY56" s="5">
        <f t="shared" ref="CY56:DA56" si="172">PV($F29,CY$9,1,0)+(PV($J$6,$K$6-CY$9,1,0)/($J$6+1)^CY$9)</f>
        <v>-41.671493983091516</v>
      </c>
      <c r="CZ56" s="5">
        <f t="shared" si="172"/>
        <v>-41.671493983091516</v>
      </c>
      <c r="DA56" s="5">
        <f t="shared" si="172"/>
        <v>-41.671493983091516</v>
      </c>
      <c r="DB56" s="5">
        <f t="shared" ref="DB56:DV56" si="173">PV($F29,DB$9,1,0)+(PV($J$6,$K$6-DB$9,1,0)/($J$6+1)^DB$9)</f>
        <v>-41.671493983091516</v>
      </c>
      <c r="DC56" s="5">
        <f t="shared" si="173"/>
        <v>-41.671493983091516</v>
      </c>
      <c r="DD56" s="5">
        <f t="shared" si="173"/>
        <v>-41.671493983091516</v>
      </c>
      <c r="DE56" s="5">
        <f t="shared" si="173"/>
        <v>-41.671493983091516</v>
      </c>
      <c r="DF56" s="5">
        <f t="shared" si="173"/>
        <v>-41.671493983091516</v>
      </c>
      <c r="DG56" s="5">
        <f t="shared" si="173"/>
        <v>-41.671493983091516</v>
      </c>
      <c r="DH56" s="5">
        <f t="shared" si="173"/>
        <v>-41.671493983091516</v>
      </c>
      <c r="DI56" s="5">
        <f t="shared" si="173"/>
        <v>-41.671493983091516</v>
      </c>
      <c r="DJ56" s="5">
        <f t="shared" si="173"/>
        <v>-41.671493983091516</v>
      </c>
      <c r="DK56" s="5">
        <f t="shared" si="173"/>
        <v>-41.671493983091516</v>
      </c>
      <c r="DL56" s="5">
        <f t="shared" si="173"/>
        <v>-41.671493983091516</v>
      </c>
      <c r="DM56" s="5">
        <f t="shared" si="173"/>
        <v>-41.671493983091516</v>
      </c>
      <c r="DN56" s="5">
        <f t="shared" si="173"/>
        <v>-41.671493983091516</v>
      </c>
      <c r="DO56" s="5">
        <f t="shared" si="173"/>
        <v>-41.671493983091516</v>
      </c>
      <c r="DP56" s="5">
        <f t="shared" si="173"/>
        <v>-41.671493983091516</v>
      </c>
      <c r="DQ56" s="5">
        <f t="shared" si="173"/>
        <v>-41.671493983091516</v>
      </c>
      <c r="DR56" s="5">
        <f t="shared" si="173"/>
        <v>-41.671493983091516</v>
      </c>
      <c r="DS56" s="5">
        <f t="shared" si="173"/>
        <v>-41.671493983091516</v>
      </c>
      <c r="DT56" s="5">
        <f t="shared" si="173"/>
        <v>-41.671493983091516</v>
      </c>
      <c r="DU56" s="5">
        <f t="shared" si="173"/>
        <v>-41.671493983091516</v>
      </c>
      <c r="DV56" s="5">
        <f t="shared" si="173"/>
        <v>-41.671493983091516</v>
      </c>
      <c r="DW56" s="5">
        <f t="shared" ref="DW56:ET56" si="174">PV($F29,DW$9,1,0)+(PV($J$6,$K$6-DW$9,1,0)/($J$6+1)^DW$9)</f>
        <v>-41.671493983091516</v>
      </c>
      <c r="DX56" s="5">
        <f t="shared" si="174"/>
        <v>-41.671493983091516</v>
      </c>
      <c r="DY56" s="5">
        <f t="shared" si="174"/>
        <v>-41.671493983091516</v>
      </c>
      <c r="DZ56" s="5">
        <f t="shared" si="174"/>
        <v>-41.671493983091516</v>
      </c>
      <c r="EA56" s="5">
        <f t="shared" si="174"/>
        <v>-41.671493983091516</v>
      </c>
      <c r="EB56" s="5">
        <f t="shared" si="174"/>
        <v>-41.671493983091516</v>
      </c>
      <c r="EC56" s="5">
        <f t="shared" si="174"/>
        <v>-41.671493983091516</v>
      </c>
      <c r="ED56" s="5">
        <f t="shared" si="174"/>
        <v>-41.671493983091516</v>
      </c>
      <c r="EE56" s="5">
        <f t="shared" si="174"/>
        <v>-41.671493983091516</v>
      </c>
      <c r="EF56" s="5">
        <f t="shared" si="174"/>
        <v>-41.671493983091516</v>
      </c>
      <c r="EG56" s="5">
        <f t="shared" si="174"/>
        <v>-41.671493983091516</v>
      </c>
      <c r="EH56" s="5">
        <f t="shared" si="174"/>
        <v>-41.671493983091516</v>
      </c>
      <c r="EI56" s="5">
        <f t="shared" si="174"/>
        <v>-41.671493983091516</v>
      </c>
      <c r="EJ56" s="5">
        <f t="shared" si="174"/>
        <v>-41.671493983091516</v>
      </c>
      <c r="EK56" s="5">
        <f t="shared" si="174"/>
        <v>-41.671493983091516</v>
      </c>
      <c r="EL56" s="5">
        <f t="shared" si="174"/>
        <v>-41.671493983091516</v>
      </c>
      <c r="EM56" s="5">
        <f t="shared" si="174"/>
        <v>-41.671493983091516</v>
      </c>
      <c r="EN56" s="5">
        <f t="shared" si="174"/>
        <v>-41.671493983091516</v>
      </c>
      <c r="EO56" s="5">
        <f t="shared" si="174"/>
        <v>-41.671493983091516</v>
      </c>
      <c r="EP56" s="5">
        <f t="shared" si="174"/>
        <v>-41.671493983091516</v>
      </c>
      <c r="EQ56" s="5">
        <f t="shared" si="174"/>
        <v>-41.671493983091516</v>
      </c>
      <c r="ER56" s="5">
        <f t="shared" si="174"/>
        <v>-41.671493983091516</v>
      </c>
      <c r="ES56" s="5">
        <f t="shared" si="174"/>
        <v>-41.671493983091516</v>
      </c>
      <c r="ET56" s="5">
        <f t="shared" si="174"/>
        <v>-41.671493983091516</v>
      </c>
      <c r="FF56" s="130" t="s">
        <v>219</v>
      </c>
      <c r="FG56" s="12">
        <v>2.0899999999999998E-2</v>
      </c>
      <c r="FH56" s="12">
        <v>96</v>
      </c>
      <c r="FI56" s="12">
        <v>1.9199999999999998E-2</v>
      </c>
      <c r="FJ56" s="82">
        <v>1.67E-2</v>
      </c>
      <c r="FK56" s="134">
        <f t="shared" si="62"/>
        <v>2.3333333333333328E-4</v>
      </c>
      <c r="FL56">
        <f>VLOOKUP(FF56,'SIMULADOR COM SALDO'!$BF$22:$BS$268,13,FALSE)</f>
        <v>2.0899999999999998E-2</v>
      </c>
    </row>
    <row r="57" spans="7:168" hidden="1" x14ac:dyDescent="0.25">
      <c r="G57" s="5"/>
      <c r="FF57" s="130" t="s">
        <v>221</v>
      </c>
      <c r="FG57" s="12">
        <v>1.95E-2</v>
      </c>
      <c r="FH57" s="12">
        <v>120</v>
      </c>
      <c r="FI57" s="12">
        <v>1.95E-2</v>
      </c>
      <c r="FJ57" s="82">
        <v>1.6500000000000001E-2</v>
      </c>
      <c r="FK57" s="134">
        <f t="shared" si="62"/>
        <v>1.6666666666666663E-4</v>
      </c>
      <c r="FL57">
        <f>VLOOKUP(FF57,'SIMULADOR COM SALDO'!$BF$22:$BS$268,13,FALSE)</f>
        <v>1.95E-2</v>
      </c>
    </row>
    <row r="58" spans="7:168" hidden="1" x14ac:dyDescent="0.25">
      <c r="G58" s="5"/>
      <c r="FF58" s="130" t="s">
        <v>223</v>
      </c>
      <c r="FG58" s="12">
        <v>2.2000000000000002E-2</v>
      </c>
      <c r="FH58" s="12">
        <v>120</v>
      </c>
      <c r="FI58" s="12">
        <v>1.78E-2</v>
      </c>
      <c r="FJ58" s="82">
        <v>1.5300000000000001E-2</v>
      </c>
      <c r="FK58" s="134">
        <f t="shared" si="62"/>
        <v>3.722222222222223E-4</v>
      </c>
      <c r="FL58">
        <f>VLOOKUP(FF58,'SIMULADOR COM SALDO'!$BF$22:$BS$268,13,FALSE)</f>
        <v>2.2000000000000002E-2</v>
      </c>
    </row>
    <row r="59" spans="7:168" hidden="1" x14ac:dyDescent="0.25">
      <c r="G59" s="5"/>
      <c r="FF59" s="12" t="s">
        <v>499</v>
      </c>
      <c r="FG59" s="12">
        <v>0.02</v>
      </c>
      <c r="FH59" s="12">
        <v>120</v>
      </c>
      <c r="FI59" s="12">
        <v>1.8500000000000003E-2</v>
      </c>
      <c r="FJ59" s="82">
        <v>1.6E-2</v>
      </c>
      <c r="FK59" s="134">
        <f t="shared" si="62"/>
        <v>2.2222222222222223E-4</v>
      </c>
      <c r="FL59">
        <f>VLOOKUP(FF59,'SIMULADOR COM SALDO'!$BF$22:$BS$268,13,FALSE)</f>
        <v>0.02</v>
      </c>
    </row>
    <row r="60" spans="7:168" x14ac:dyDescent="0.25">
      <c r="FF60" s="12" t="s">
        <v>502</v>
      </c>
      <c r="FG60" s="12">
        <v>2.1000000000000001E-2</v>
      </c>
      <c r="FH60" s="12">
        <v>120</v>
      </c>
      <c r="FI60" s="12">
        <v>1.9599999999999999E-2</v>
      </c>
      <c r="FJ60" s="82">
        <v>1.7100000000000001E-2</v>
      </c>
      <c r="FK60" s="134">
        <f t="shared" si="62"/>
        <v>2.1666666666666671E-4</v>
      </c>
      <c r="FL60">
        <f>VLOOKUP(FF60,'SIMULADOR COM SALDO'!$BF$22:$BS$268,13,FALSE)</f>
        <v>2.1000000000000001E-2</v>
      </c>
    </row>
    <row r="61" spans="7:168" x14ac:dyDescent="0.25">
      <c r="FF61" s="130" t="s">
        <v>95</v>
      </c>
      <c r="FG61" s="12">
        <v>1.95E-2</v>
      </c>
      <c r="FH61" s="12">
        <v>96</v>
      </c>
      <c r="FI61" s="12">
        <v>1.6899999999999998E-2</v>
      </c>
      <c r="FJ61" s="82">
        <v>1.1899999999999999E-2</v>
      </c>
      <c r="FK61" s="134">
        <f t="shared" si="62"/>
        <v>4.2222222222222227E-4</v>
      </c>
      <c r="FL61">
        <f>VLOOKUP(FF61,'SIMULADOR COM SALDO'!$BF$22:$BS$268,13,FALSE)</f>
        <v>1.95E-2</v>
      </c>
    </row>
    <row r="62" spans="7:168" x14ac:dyDescent="0.25">
      <c r="FF62" s="130" t="s">
        <v>436</v>
      </c>
      <c r="FG62" s="12">
        <v>2.4E-2</v>
      </c>
      <c r="FH62" s="12">
        <v>96</v>
      </c>
      <c r="FI62" s="12">
        <v>1.89E-2</v>
      </c>
      <c r="FJ62" s="82">
        <v>1.6E-2</v>
      </c>
      <c r="FK62" s="134">
        <f t="shared" si="62"/>
        <v>4.4444444444444447E-4</v>
      </c>
      <c r="FL62">
        <f>VLOOKUP(FF62,'SIMULADOR COM SALDO'!$BF$22:$BS$268,13,FALSE)</f>
        <v>2.4E-2</v>
      </c>
    </row>
    <row r="63" spans="7:168" x14ac:dyDescent="0.25">
      <c r="FF63" s="12" t="s">
        <v>506</v>
      </c>
      <c r="FG63" s="12">
        <v>2.4799999999999999E-2</v>
      </c>
      <c r="FH63" s="12">
        <v>96</v>
      </c>
      <c r="FI63" s="12">
        <v>1.9900000000000001E-2</v>
      </c>
      <c r="FJ63" s="82">
        <v>1.7299999999999999E-2</v>
      </c>
      <c r="FK63" s="134">
        <f t="shared" si="62"/>
        <v>4.1666666666666664E-4</v>
      </c>
      <c r="FL63">
        <f>VLOOKUP(FF63,'SIMULADOR COM SALDO'!$BF$22:$BS$268,13,FALSE)</f>
        <v>2.4799999999999999E-2</v>
      </c>
    </row>
    <row r="64" spans="7:168" x14ac:dyDescent="0.25">
      <c r="FF64" s="130" t="s">
        <v>231</v>
      </c>
      <c r="FG64" s="12">
        <v>0</v>
      </c>
      <c r="FH64" s="12">
        <v>120</v>
      </c>
      <c r="FI64" s="12">
        <v>2.23E-2</v>
      </c>
      <c r="FJ64" s="82">
        <v>0</v>
      </c>
      <c r="FK64" s="134">
        <f t="shared" si="62"/>
        <v>0</v>
      </c>
      <c r="FL64">
        <f>VLOOKUP(FF64,'SIMULADOR COM SALDO'!$BF$22:$BS$268,13,FALSE)</f>
        <v>0</v>
      </c>
    </row>
    <row r="65" spans="162:168" x14ac:dyDescent="0.25">
      <c r="FF65" s="130" t="s">
        <v>233</v>
      </c>
      <c r="FG65" s="12">
        <v>2.4E-2</v>
      </c>
      <c r="FH65" s="12">
        <v>120</v>
      </c>
      <c r="FI65" s="12">
        <v>0.02</v>
      </c>
      <c r="FJ65" s="82">
        <v>1.7500000000000002E-2</v>
      </c>
      <c r="FK65" s="134">
        <f t="shared" si="62"/>
        <v>3.6111111111111104E-4</v>
      </c>
      <c r="FL65">
        <f>VLOOKUP(FF65,'SIMULADOR COM SALDO'!$BF$22:$BS$268,13,FALSE)</f>
        <v>2.4E-2</v>
      </c>
    </row>
    <row r="66" spans="162:168" x14ac:dyDescent="0.25">
      <c r="FF66" s="130" t="s">
        <v>236</v>
      </c>
      <c r="FG66" s="12">
        <v>2.3099999999999999E-2</v>
      </c>
      <c r="FH66" s="12">
        <v>120</v>
      </c>
      <c r="FI66" s="12">
        <v>1.8100000000000002E-2</v>
      </c>
      <c r="FJ66" s="82">
        <v>1.5600000000000001E-2</v>
      </c>
      <c r="FK66" s="134">
        <f t="shared" si="62"/>
        <v>4.1666666666666653E-4</v>
      </c>
      <c r="FL66">
        <f>VLOOKUP(FF66,'SIMULADOR COM SALDO'!$BF$22:$BS$268,13,FALSE)</f>
        <v>2.3099999999999999E-2</v>
      </c>
    </row>
    <row r="67" spans="162:168" x14ac:dyDescent="0.25">
      <c r="FF67" s="130" t="s">
        <v>99</v>
      </c>
      <c r="FG67" s="12">
        <v>2.4E-2</v>
      </c>
      <c r="FH67" s="12">
        <v>120</v>
      </c>
      <c r="FI67" s="12">
        <v>1.7899999999999999E-2</v>
      </c>
      <c r="FJ67" s="82">
        <v>1.34E-2</v>
      </c>
      <c r="FK67" s="134">
        <f t="shared" si="62"/>
        <v>5.888888888888889E-4</v>
      </c>
      <c r="FL67">
        <f>VLOOKUP(FF67,'SIMULADOR COM SALDO'!$BF$22:$BS$268,13,FALSE)</f>
        <v>2.4E-2</v>
      </c>
    </row>
    <row r="68" spans="162:168" x14ac:dyDescent="0.25">
      <c r="FF68" s="130" t="s">
        <v>238</v>
      </c>
      <c r="FG68" s="12">
        <v>2.0499999999999997E-2</v>
      </c>
      <c r="FH68" s="12">
        <v>96</v>
      </c>
      <c r="FI68" s="12">
        <v>1.8100000000000002E-2</v>
      </c>
      <c r="FJ68" s="82">
        <v>1.29E-2</v>
      </c>
      <c r="FK68" s="134">
        <f t="shared" si="62"/>
        <v>4.2222222222222205E-4</v>
      </c>
      <c r="FL68">
        <f>VLOOKUP(FF68,'SIMULADOR COM SALDO'!$BF$22:$BS$268,13,FALSE)</f>
        <v>2.0499999999999997E-2</v>
      </c>
    </row>
    <row r="69" spans="162:168" x14ac:dyDescent="0.25">
      <c r="FF69" s="130" t="s">
        <v>454</v>
      </c>
      <c r="FG69" s="12">
        <v>2.2000000000000002E-2</v>
      </c>
      <c r="FH69" s="12">
        <v>120</v>
      </c>
      <c r="FI69" s="12">
        <v>0.02</v>
      </c>
      <c r="FJ69" s="82">
        <v>1.4999999999999999E-2</v>
      </c>
      <c r="FK69" s="134">
        <f t="shared" si="62"/>
        <v>3.8888888888888903E-4</v>
      </c>
      <c r="FL69">
        <f>VLOOKUP(FF69,'SIMULADOR COM SALDO'!$BF$22:$BS$268,13,FALSE)</f>
        <v>2.2000000000000002E-2</v>
      </c>
    </row>
    <row r="70" spans="162:168" x14ac:dyDescent="0.25">
      <c r="FF70" s="130" t="s">
        <v>239</v>
      </c>
      <c r="FG70" s="12">
        <v>2.2200000000000001E-2</v>
      </c>
      <c r="FH70" s="12">
        <v>96</v>
      </c>
      <c r="FI70" s="12">
        <v>0.02</v>
      </c>
      <c r="FJ70" s="82">
        <v>1.7500000000000002E-2</v>
      </c>
      <c r="FK70" s="134">
        <f t="shared" si="62"/>
        <v>2.6111111111111105E-4</v>
      </c>
      <c r="FL70">
        <f>VLOOKUP(FF70,'SIMULADOR COM SALDO'!$BF$22:$BS$268,13,FALSE)</f>
        <v>2.2200000000000001E-2</v>
      </c>
    </row>
    <row r="71" spans="162:168" x14ac:dyDescent="0.25">
      <c r="FF71" s="130" t="s">
        <v>243</v>
      </c>
      <c r="FG71" s="12">
        <v>2.2499999999999999E-2</v>
      </c>
      <c r="FH71" s="12">
        <v>96</v>
      </c>
      <c r="FI71" s="12">
        <v>2.1000000000000001E-2</v>
      </c>
      <c r="FJ71" s="82">
        <v>1.89E-2</v>
      </c>
      <c r="FK71" s="134">
        <f t="shared" si="62"/>
        <v>1.9999999999999996E-4</v>
      </c>
      <c r="FL71">
        <f>VLOOKUP(FF71,'SIMULADOR COM SALDO'!$BF$22:$BS$268,13,FALSE)</f>
        <v>2.2499999999999999E-2</v>
      </c>
    </row>
    <row r="72" spans="162:168" x14ac:dyDescent="0.25">
      <c r="FF72" s="130" t="s">
        <v>246</v>
      </c>
      <c r="FG72" s="12">
        <v>0.05</v>
      </c>
      <c r="FH72" s="12">
        <v>120</v>
      </c>
      <c r="FI72" s="12">
        <v>1.5600000000000001E-2</v>
      </c>
      <c r="FJ72" s="82">
        <v>2.2000000000000002E-2</v>
      </c>
      <c r="FK72" s="134">
        <f t="shared" si="62"/>
        <v>1.5555555555555557E-3</v>
      </c>
      <c r="FL72" t="e">
        <f>VLOOKUP(FF72,'SIMULADOR COM SALDO'!$BF$22:$BS$268,13,FALSE)</f>
        <v>#N/A</v>
      </c>
    </row>
    <row r="73" spans="162:168" x14ac:dyDescent="0.25">
      <c r="FJ73" s="157"/>
      <c r="FK73" s="134">
        <f t="shared" si="62"/>
        <v>0</v>
      </c>
      <c r="FL73">
        <f>VLOOKUP(FF73,'SIMULADOR COM SALDO'!$BF$22:$BS$268,13,FALSE)</f>
        <v>0</v>
      </c>
    </row>
    <row r="74" spans="162:168" x14ac:dyDescent="0.25">
      <c r="FJ74" s="157"/>
      <c r="FK74" s="134">
        <f t="shared" si="62"/>
        <v>0</v>
      </c>
      <c r="FL74">
        <f>VLOOKUP(FF74,'SIMULADOR COM SALDO'!$BF$22:$BS$268,13,FALSE)</f>
        <v>0</v>
      </c>
    </row>
    <row r="75" spans="162:168" x14ac:dyDescent="0.25">
      <c r="FJ75" s="157"/>
      <c r="FK75" s="134">
        <f t="shared" si="62"/>
        <v>0</v>
      </c>
      <c r="FL75">
        <f>VLOOKUP(FF75,'SIMULADOR COM SALDO'!$BF$22:$BS$268,13,FALSE)</f>
        <v>0</v>
      </c>
    </row>
    <row r="76" spans="162:168" x14ac:dyDescent="0.25">
      <c r="FJ76" s="157"/>
      <c r="FK76" s="134">
        <f t="shared" ref="FK76:FK139" si="175">(FG76-FJ76)/18</f>
        <v>0</v>
      </c>
      <c r="FL76">
        <f>VLOOKUP(FF76,'SIMULADOR COM SALDO'!$BF$22:$BS$268,13,FALSE)</f>
        <v>0</v>
      </c>
    </row>
    <row r="77" spans="162:168" x14ac:dyDescent="0.25">
      <c r="FJ77" s="157"/>
      <c r="FK77" s="134">
        <f t="shared" si="175"/>
        <v>0</v>
      </c>
      <c r="FL77">
        <f>VLOOKUP(FF77,'SIMULADOR COM SALDO'!$BF$22:$BS$268,13,FALSE)</f>
        <v>0</v>
      </c>
    </row>
    <row r="78" spans="162:168" x14ac:dyDescent="0.25">
      <c r="FJ78" s="157"/>
      <c r="FK78" s="134">
        <f t="shared" si="175"/>
        <v>0</v>
      </c>
      <c r="FL78">
        <f>VLOOKUP(FF78,'SIMULADOR COM SALDO'!$BF$22:$BS$268,13,FALSE)</f>
        <v>0</v>
      </c>
    </row>
    <row r="79" spans="162:168" x14ac:dyDescent="0.25">
      <c r="FJ79" s="157"/>
      <c r="FK79" s="134">
        <f t="shared" si="175"/>
        <v>0</v>
      </c>
      <c r="FL79">
        <f>VLOOKUP(FF79,'SIMULADOR COM SALDO'!$BF$22:$BS$268,13,FALSE)</f>
        <v>0</v>
      </c>
    </row>
    <row r="80" spans="162:168" x14ac:dyDescent="0.25">
      <c r="FJ80" s="157"/>
      <c r="FK80" s="134">
        <f t="shared" si="175"/>
        <v>0</v>
      </c>
      <c r="FL80">
        <f>VLOOKUP(FF80,'SIMULADOR COM SALDO'!$BF$22:$BS$268,13,FALSE)</f>
        <v>0</v>
      </c>
    </row>
    <row r="81" spans="166:168" x14ac:dyDescent="0.25">
      <c r="FJ81" s="157"/>
      <c r="FK81" s="134">
        <f t="shared" si="175"/>
        <v>0</v>
      </c>
      <c r="FL81">
        <f>VLOOKUP(FF81,'SIMULADOR COM SALDO'!$BF$22:$BS$268,13,FALSE)</f>
        <v>0</v>
      </c>
    </row>
    <row r="82" spans="166:168" x14ac:dyDescent="0.25">
      <c r="FJ82" s="157"/>
      <c r="FK82" s="134">
        <f t="shared" si="175"/>
        <v>0</v>
      </c>
      <c r="FL82">
        <f>VLOOKUP(FF82,'SIMULADOR COM SALDO'!$BF$22:$BS$268,13,FALSE)</f>
        <v>0</v>
      </c>
    </row>
    <row r="83" spans="166:168" x14ac:dyDescent="0.25">
      <c r="FJ83" s="157"/>
      <c r="FK83" s="134">
        <f t="shared" si="175"/>
        <v>0</v>
      </c>
      <c r="FL83">
        <f>VLOOKUP(FF83,'SIMULADOR COM SALDO'!$BF$22:$BS$268,13,FALSE)</f>
        <v>0</v>
      </c>
    </row>
    <row r="84" spans="166:168" x14ac:dyDescent="0.25">
      <c r="FJ84" s="157"/>
      <c r="FK84" s="134">
        <f t="shared" si="175"/>
        <v>0</v>
      </c>
      <c r="FL84">
        <f>VLOOKUP(FF84,'SIMULADOR COM SALDO'!$BF$22:$BS$268,13,FALSE)</f>
        <v>0</v>
      </c>
    </row>
    <row r="85" spans="166:168" x14ac:dyDescent="0.25">
      <c r="FJ85" s="157"/>
      <c r="FK85" s="134">
        <f t="shared" si="175"/>
        <v>0</v>
      </c>
      <c r="FL85">
        <f>VLOOKUP(FF85,'SIMULADOR COM SALDO'!$BF$22:$BS$268,13,FALSE)</f>
        <v>0</v>
      </c>
    </row>
    <row r="86" spans="166:168" x14ac:dyDescent="0.25">
      <c r="FJ86" s="157"/>
      <c r="FK86" s="134">
        <f t="shared" si="175"/>
        <v>0</v>
      </c>
      <c r="FL86">
        <f>VLOOKUP(FF86,'SIMULADOR COM SALDO'!$BF$22:$BS$268,13,FALSE)</f>
        <v>0</v>
      </c>
    </row>
    <row r="87" spans="166:168" x14ac:dyDescent="0.25">
      <c r="FJ87" s="157"/>
      <c r="FK87" s="134">
        <f t="shared" si="175"/>
        <v>0</v>
      </c>
      <c r="FL87">
        <f>VLOOKUP(FF87,'SIMULADOR COM SALDO'!$BF$22:$BS$268,13,FALSE)</f>
        <v>0</v>
      </c>
    </row>
    <row r="88" spans="166:168" x14ac:dyDescent="0.25">
      <c r="FJ88" s="157"/>
      <c r="FK88" s="134">
        <f t="shared" si="175"/>
        <v>0</v>
      </c>
      <c r="FL88">
        <f>VLOOKUP(FF88,'SIMULADOR COM SALDO'!$BF$22:$BS$268,13,FALSE)</f>
        <v>0</v>
      </c>
    </row>
    <row r="89" spans="166:168" x14ac:dyDescent="0.25">
      <c r="FJ89" s="157"/>
      <c r="FK89" s="134">
        <f t="shared" si="175"/>
        <v>0</v>
      </c>
      <c r="FL89">
        <f>VLOOKUP(FF89,'SIMULADOR COM SALDO'!$BF$22:$BS$268,13,FALSE)</f>
        <v>0</v>
      </c>
    </row>
    <row r="90" spans="166:168" x14ac:dyDescent="0.25">
      <c r="FJ90" s="157"/>
      <c r="FK90" s="134">
        <f t="shared" si="175"/>
        <v>0</v>
      </c>
      <c r="FL90">
        <f>VLOOKUP(FF90,'SIMULADOR COM SALDO'!$BF$22:$BS$268,13,FALSE)</f>
        <v>0</v>
      </c>
    </row>
    <row r="91" spans="166:168" x14ac:dyDescent="0.25">
      <c r="FJ91" s="157"/>
      <c r="FK91" s="134">
        <f t="shared" si="175"/>
        <v>0</v>
      </c>
      <c r="FL91">
        <f>VLOOKUP(FF91,'SIMULADOR COM SALDO'!$BF$22:$BS$268,13,FALSE)</f>
        <v>0</v>
      </c>
    </row>
    <row r="92" spans="166:168" x14ac:dyDescent="0.25">
      <c r="FJ92" s="157"/>
      <c r="FK92" s="134">
        <f t="shared" si="175"/>
        <v>0</v>
      </c>
      <c r="FL92">
        <f>VLOOKUP(FF92,'SIMULADOR COM SALDO'!$BF$22:$BS$268,13,FALSE)</f>
        <v>0</v>
      </c>
    </row>
    <row r="93" spans="166:168" x14ac:dyDescent="0.25">
      <c r="FJ93" s="157"/>
      <c r="FK93" s="134">
        <f t="shared" si="175"/>
        <v>0</v>
      </c>
      <c r="FL93">
        <f>VLOOKUP(FF93,'SIMULADOR COM SALDO'!$BF$22:$BS$268,13,FALSE)</f>
        <v>0</v>
      </c>
    </row>
    <row r="94" spans="166:168" x14ac:dyDescent="0.25">
      <c r="FJ94" s="157"/>
      <c r="FK94" s="134">
        <f t="shared" si="175"/>
        <v>0</v>
      </c>
      <c r="FL94">
        <f>VLOOKUP(FF94,'SIMULADOR COM SALDO'!$BF$22:$BS$268,13,FALSE)</f>
        <v>0</v>
      </c>
    </row>
    <row r="95" spans="166:168" x14ac:dyDescent="0.25">
      <c r="FJ95" s="157"/>
      <c r="FK95" s="134">
        <f t="shared" si="175"/>
        <v>0</v>
      </c>
      <c r="FL95">
        <f>VLOOKUP(FF95,'SIMULADOR COM SALDO'!$BF$22:$BS$268,13,FALSE)</f>
        <v>0</v>
      </c>
    </row>
    <row r="96" spans="166:168" x14ac:dyDescent="0.25">
      <c r="FJ96" s="157"/>
      <c r="FK96" s="134">
        <f t="shared" si="175"/>
        <v>0</v>
      </c>
      <c r="FL96">
        <f>VLOOKUP(FF96,'SIMULADOR COM SALDO'!$BF$22:$BS$268,13,FALSE)</f>
        <v>0</v>
      </c>
    </row>
    <row r="97" spans="166:168" x14ac:dyDescent="0.25">
      <c r="FJ97" s="157"/>
      <c r="FK97" s="134">
        <f t="shared" si="175"/>
        <v>0</v>
      </c>
      <c r="FL97">
        <f>VLOOKUP(FF97,'SIMULADOR COM SALDO'!$BF$22:$BS$268,13,FALSE)</f>
        <v>0</v>
      </c>
    </row>
    <row r="98" spans="166:168" x14ac:dyDescent="0.25">
      <c r="FJ98" s="157"/>
      <c r="FK98" s="134">
        <f t="shared" si="175"/>
        <v>0</v>
      </c>
      <c r="FL98">
        <f>VLOOKUP(FF98,'SIMULADOR COM SALDO'!$BF$22:$BS$268,13,FALSE)</f>
        <v>0</v>
      </c>
    </row>
    <row r="99" spans="166:168" x14ac:dyDescent="0.25">
      <c r="FJ99" s="157"/>
      <c r="FK99" s="134">
        <f t="shared" si="175"/>
        <v>0</v>
      </c>
      <c r="FL99">
        <f>VLOOKUP(FF99,'SIMULADOR COM SALDO'!$BF$22:$BS$268,13,FALSE)</f>
        <v>0</v>
      </c>
    </row>
    <row r="100" spans="166:168" x14ac:dyDescent="0.25">
      <c r="FJ100" s="157"/>
      <c r="FK100" s="134">
        <f t="shared" si="175"/>
        <v>0</v>
      </c>
      <c r="FL100">
        <f>VLOOKUP(FF100,'SIMULADOR COM SALDO'!$BF$22:$BS$268,13,FALSE)</f>
        <v>0</v>
      </c>
    </row>
    <row r="101" spans="166:168" x14ac:dyDescent="0.25">
      <c r="FJ101" s="157"/>
      <c r="FK101" s="134">
        <f t="shared" si="175"/>
        <v>0</v>
      </c>
      <c r="FL101">
        <f>VLOOKUP(FF101,'SIMULADOR COM SALDO'!$BF$22:$BS$268,13,FALSE)</f>
        <v>0</v>
      </c>
    </row>
    <row r="102" spans="166:168" x14ac:dyDescent="0.25">
      <c r="FJ102" s="157"/>
      <c r="FK102" s="134">
        <f t="shared" si="175"/>
        <v>0</v>
      </c>
      <c r="FL102">
        <f>VLOOKUP(FF102,'SIMULADOR COM SALDO'!$BF$22:$BS$268,13,FALSE)</f>
        <v>0</v>
      </c>
    </row>
    <row r="103" spans="166:168" x14ac:dyDescent="0.25">
      <c r="FJ103" s="157"/>
      <c r="FK103" s="134">
        <f t="shared" si="175"/>
        <v>0</v>
      </c>
      <c r="FL103">
        <f>VLOOKUP(FF103,'SIMULADOR COM SALDO'!$BF$22:$BS$268,13,FALSE)</f>
        <v>0</v>
      </c>
    </row>
    <row r="104" spans="166:168" x14ac:dyDescent="0.25">
      <c r="FJ104" s="157"/>
      <c r="FK104" s="134">
        <f t="shared" si="175"/>
        <v>0</v>
      </c>
      <c r="FL104">
        <f>VLOOKUP(FF104,'SIMULADOR COM SALDO'!$BF$22:$BS$268,13,FALSE)</f>
        <v>0</v>
      </c>
    </row>
    <row r="105" spans="166:168" x14ac:dyDescent="0.25">
      <c r="FJ105" s="157"/>
      <c r="FK105" s="134">
        <f t="shared" si="175"/>
        <v>0</v>
      </c>
      <c r="FL105">
        <f>VLOOKUP(FF105,'SIMULADOR COM SALDO'!$BF$22:$BS$268,13,FALSE)</f>
        <v>0</v>
      </c>
    </row>
    <row r="106" spans="166:168" x14ac:dyDescent="0.25">
      <c r="FJ106" s="157"/>
      <c r="FK106" s="134">
        <f t="shared" si="175"/>
        <v>0</v>
      </c>
      <c r="FL106">
        <f>VLOOKUP(FF106,'SIMULADOR COM SALDO'!$BF$22:$BS$268,13,FALSE)</f>
        <v>0</v>
      </c>
    </row>
    <row r="107" spans="166:168" x14ac:dyDescent="0.25">
      <c r="FJ107" s="157"/>
      <c r="FK107" s="134">
        <f t="shared" si="175"/>
        <v>0</v>
      </c>
      <c r="FL107">
        <f>VLOOKUP(FF107,'SIMULADOR COM SALDO'!$BF$22:$BS$268,13,FALSE)</f>
        <v>0</v>
      </c>
    </row>
    <row r="108" spans="166:168" x14ac:dyDescent="0.25">
      <c r="FJ108" s="157"/>
      <c r="FK108" s="134">
        <f t="shared" si="175"/>
        <v>0</v>
      </c>
      <c r="FL108">
        <f>VLOOKUP(FF108,'SIMULADOR COM SALDO'!$BF$22:$BS$268,13,FALSE)</f>
        <v>0</v>
      </c>
    </row>
    <row r="109" spans="166:168" x14ac:dyDescent="0.25">
      <c r="FJ109" s="157"/>
      <c r="FK109" s="134">
        <f t="shared" si="175"/>
        <v>0</v>
      </c>
      <c r="FL109">
        <f>VLOOKUP(FF109,'SIMULADOR COM SALDO'!$BF$22:$BS$268,13,FALSE)</f>
        <v>0</v>
      </c>
    </row>
    <row r="110" spans="166:168" x14ac:dyDescent="0.25">
      <c r="FJ110" s="157"/>
      <c r="FK110" s="134">
        <f t="shared" si="175"/>
        <v>0</v>
      </c>
      <c r="FL110">
        <f>VLOOKUP(FF110,'SIMULADOR COM SALDO'!$BF$22:$BS$268,13,FALSE)</f>
        <v>0</v>
      </c>
    </row>
    <row r="111" spans="166:168" x14ac:dyDescent="0.25">
      <c r="FJ111" s="157"/>
      <c r="FK111" s="134">
        <f t="shared" si="175"/>
        <v>0</v>
      </c>
      <c r="FL111">
        <f>VLOOKUP(FF111,'SIMULADOR COM SALDO'!$BF$22:$BS$268,13,FALSE)</f>
        <v>0</v>
      </c>
    </row>
    <row r="112" spans="166:168" x14ac:dyDescent="0.25">
      <c r="FJ112" s="157"/>
      <c r="FK112" s="134">
        <f t="shared" si="175"/>
        <v>0</v>
      </c>
      <c r="FL112">
        <f>VLOOKUP(FF112,'SIMULADOR COM SALDO'!$BF$22:$BS$268,13,FALSE)</f>
        <v>0</v>
      </c>
    </row>
    <row r="113" spans="166:168" x14ac:dyDescent="0.25">
      <c r="FJ113" s="157"/>
      <c r="FK113" s="134">
        <f t="shared" si="175"/>
        <v>0</v>
      </c>
      <c r="FL113">
        <f>VLOOKUP(FF113,'SIMULADOR COM SALDO'!$BF$22:$BS$268,13,FALSE)</f>
        <v>0</v>
      </c>
    </row>
    <row r="114" spans="166:168" x14ac:dyDescent="0.25">
      <c r="FJ114" s="157"/>
      <c r="FK114" s="134">
        <f t="shared" si="175"/>
        <v>0</v>
      </c>
      <c r="FL114">
        <f>VLOOKUP(FF114,'SIMULADOR COM SALDO'!$BF$22:$BS$268,13,FALSE)</f>
        <v>0</v>
      </c>
    </row>
    <row r="115" spans="166:168" x14ac:dyDescent="0.25">
      <c r="FJ115" s="157"/>
      <c r="FK115" s="134">
        <f t="shared" si="175"/>
        <v>0</v>
      </c>
      <c r="FL115">
        <f>VLOOKUP(FF115,'SIMULADOR COM SALDO'!$BF$22:$BS$268,13,FALSE)</f>
        <v>0</v>
      </c>
    </row>
    <row r="116" spans="166:168" x14ac:dyDescent="0.25">
      <c r="FJ116" s="157"/>
      <c r="FK116" s="134">
        <f t="shared" si="175"/>
        <v>0</v>
      </c>
      <c r="FL116">
        <f>VLOOKUP(FF116,'SIMULADOR COM SALDO'!$BF$22:$BS$268,13,FALSE)</f>
        <v>0</v>
      </c>
    </row>
    <row r="117" spans="166:168" x14ac:dyDescent="0.25">
      <c r="FJ117" s="157"/>
      <c r="FK117" s="134">
        <f t="shared" si="175"/>
        <v>0</v>
      </c>
      <c r="FL117">
        <f>VLOOKUP(FF117,'SIMULADOR COM SALDO'!$BF$22:$BS$268,13,FALSE)</f>
        <v>0</v>
      </c>
    </row>
    <row r="118" spans="166:168" x14ac:dyDescent="0.25">
      <c r="FJ118" s="157"/>
      <c r="FK118" s="134">
        <f t="shared" si="175"/>
        <v>0</v>
      </c>
      <c r="FL118">
        <f>VLOOKUP(FF118,'SIMULADOR COM SALDO'!$BF$22:$BS$268,13,FALSE)</f>
        <v>0</v>
      </c>
    </row>
    <row r="119" spans="166:168" x14ac:dyDescent="0.25">
      <c r="FJ119" s="157"/>
      <c r="FK119" s="134">
        <f t="shared" si="175"/>
        <v>0</v>
      </c>
      <c r="FL119">
        <f>VLOOKUP(FF119,'SIMULADOR COM SALDO'!$BF$22:$BS$268,13,FALSE)</f>
        <v>0</v>
      </c>
    </row>
    <row r="120" spans="166:168" x14ac:dyDescent="0.25">
      <c r="FJ120" s="157"/>
      <c r="FK120" s="134">
        <f t="shared" si="175"/>
        <v>0</v>
      </c>
      <c r="FL120">
        <f>VLOOKUP(FF120,'SIMULADOR COM SALDO'!$BF$22:$BS$268,13,FALSE)</f>
        <v>0</v>
      </c>
    </row>
    <row r="121" spans="166:168" x14ac:dyDescent="0.25">
      <c r="FJ121" s="157"/>
      <c r="FK121" s="134">
        <f t="shared" si="175"/>
        <v>0</v>
      </c>
      <c r="FL121">
        <f>VLOOKUP(FF121,'SIMULADOR COM SALDO'!$BF$22:$BS$268,13,FALSE)</f>
        <v>0</v>
      </c>
    </row>
    <row r="122" spans="166:168" x14ac:dyDescent="0.25">
      <c r="FJ122" s="157"/>
      <c r="FK122" s="134">
        <f t="shared" si="175"/>
        <v>0</v>
      </c>
      <c r="FL122">
        <f>VLOOKUP(FF122,'SIMULADOR COM SALDO'!$BF$22:$BS$268,13,FALSE)</f>
        <v>0</v>
      </c>
    </row>
    <row r="123" spans="166:168" x14ac:dyDescent="0.25">
      <c r="FJ123" s="157"/>
      <c r="FK123" s="134">
        <f t="shared" si="175"/>
        <v>0</v>
      </c>
      <c r="FL123">
        <f>VLOOKUP(FF123,'SIMULADOR COM SALDO'!$BF$22:$BS$268,13,FALSE)</f>
        <v>0</v>
      </c>
    </row>
    <row r="124" spans="166:168" x14ac:dyDescent="0.25">
      <c r="FJ124" s="157"/>
      <c r="FK124" s="134">
        <f t="shared" si="175"/>
        <v>0</v>
      </c>
      <c r="FL124">
        <f>VLOOKUP(FF124,'SIMULADOR COM SALDO'!$BF$22:$BS$268,13,FALSE)</f>
        <v>0</v>
      </c>
    </row>
    <row r="125" spans="166:168" x14ac:dyDescent="0.25">
      <c r="FJ125" s="157"/>
      <c r="FK125" s="134">
        <f t="shared" si="175"/>
        <v>0</v>
      </c>
      <c r="FL125">
        <f>VLOOKUP(FF125,'SIMULADOR COM SALDO'!$BF$22:$BS$268,13,FALSE)</f>
        <v>0</v>
      </c>
    </row>
    <row r="126" spans="166:168" x14ac:dyDescent="0.25">
      <c r="FJ126" s="157"/>
      <c r="FK126" s="134">
        <f t="shared" si="175"/>
        <v>0</v>
      </c>
      <c r="FL126">
        <f>VLOOKUP(FF126,'SIMULADOR COM SALDO'!$BF$22:$BS$268,13,FALSE)</f>
        <v>0</v>
      </c>
    </row>
    <row r="127" spans="166:168" x14ac:dyDescent="0.25">
      <c r="FJ127" s="157"/>
      <c r="FK127" s="134">
        <f t="shared" si="175"/>
        <v>0</v>
      </c>
      <c r="FL127">
        <f>VLOOKUP(FF127,'SIMULADOR COM SALDO'!$BF$22:$BS$268,13,FALSE)</f>
        <v>0</v>
      </c>
    </row>
    <row r="128" spans="166:168" x14ac:dyDescent="0.25">
      <c r="FJ128" s="157"/>
      <c r="FK128" s="134">
        <f t="shared" si="175"/>
        <v>0</v>
      </c>
      <c r="FL128">
        <f>VLOOKUP(FF128,'SIMULADOR COM SALDO'!$BF$22:$BS$268,13,FALSE)</f>
        <v>0</v>
      </c>
    </row>
    <row r="129" spans="166:168" x14ac:dyDescent="0.25">
      <c r="FJ129" s="157"/>
      <c r="FK129" s="134">
        <f t="shared" si="175"/>
        <v>0</v>
      </c>
      <c r="FL129">
        <f>VLOOKUP(FF129,'SIMULADOR COM SALDO'!$BF$22:$BS$268,13,FALSE)</f>
        <v>0</v>
      </c>
    </row>
    <row r="130" spans="166:168" x14ac:dyDescent="0.25">
      <c r="FJ130" s="157"/>
      <c r="FK130" s="134">
        <f t="shared" si="175"/>
        <v>0</v>
      </c>
      <c r="FL130">
        <f>VLOOKUP(FF130,'SIMULADOR COM SALDO'!$BF$22:$BS$268,13,FALSE)</f>
        <v>0</v>
      </c>
    </row>
    <row r="131" spans="166:168" x14ac:dyDescent="0.25">
      <c r="FJ131" s="157"/>
      <c r="FK131" s="134">
        <f t="shared" si="175"/>
        <v>0</v>
      </c>
      <c r="FL131">
        <f>VLOOKUP(FF131,'SIMULADOR COM SALDO'!$BF$22:$BS$268,13,FALSE)</f>
        <v>0</v>
      </c>
    </row>
    <row r="132" spans="166:168" x14ac:dyDescent="0.25">
      <c r="FJ132" s="157"/>
      <c r="FK132" s="134">
        <f t="shared" si="175"/>
        <v>0</v>
      </c>
      <c r="FL132">
        <f>VLOOKUP(FF132,'SIMULADOR COM SALDO'!$BF$22:$BS$268,13,FALSE)</f>
        <v>0</v>
      </c>
    </row>
    <row r="133" spans="166:168" x14ac:dyDescent="0.25">
      <c r="FJ133" s="157"/>
      <c r="FK133" s="134">
        <f t="shared" si="175"/>
        <v>0</v>
      </c>
      <c r="FL133">
        <f>VLOOKUP(FF133,'SIMULADOR COM SALDO'!$BF$22:$BS$268,13,FALSE)</f>
        <v>0</v>
      </c>
    </row>
    <row r="134" spans="166:168" x14ac:dyDescent="0.25">
      <c r="FJ134" s="157"/>
      <c r="FK134" s="134">
        <f t="shared" si="175"/>
        <v>0</v>
      </c>
      <c r="FL134">
        <f>VLOOKUP(FF134,'SIMULADOR COM SALDO'!$BF$22:$BS$268,13,FALSE)</f>
        <v>0</v>
      </c>
    </row>
    <row r="135" spans="166:168" x14ac:dyDescent="0.25">
      <c r="FJ135" s="157"/>
      <c r="FK135" s="134">
        <f t="shared" si="175"/>
        <v>0</v>
      </c>
      <c r="FL135">
        <f>VLOOKUP(FF135,'SIMULADOR COM SALDO'!$BF$22:$BS$268,13,FALSE)</f>
        <v>0</v>
      </c>
    </row>
    <row r="136" spans="166:168" x14ac:dyDescent="0.25">
      <c r="FJ136" s="157"/>
      <c r="FK136" s="134">
        <f t="shared" si="175"/>
        <v>0</v>
      </c>
      <c r="FL136">
        <f>VLOOKUP(FF136,'SIMULADOR COM SALDO'!$BF$22:$BS$268,13,FALSE)</f>
        <v>0</v>
      </c>
    </row>
    <row r="137" spans="166:168" x14ac:dyDescent="0.25">
      <c r="FJ137" s="157"/>
      <c r="FK137" s="134">
        <f t="shared" si="175"/>
        <v>0</v>
      </c>
      <c r="FL137">
        <f>VLOOKUP(FF137,'SIMULADOR COM SALDO'!$BF$22:$BS$268,13,FALSE)</f>
        <v>0</v>
      </c>
    </row>
    <row r="138" spans="166:168" x14ac:dyDescent="0.25">
      <c r="FJ138" s="157"/>
      <c r="FK138" s="134">
        <f t="shared" si="175"/>
        <v>0</v>
      </c>
      <c r="FL138">
        <f>VLOOKUP(FF138,'SIMULADOR COM SALDO'!$BF$22:$BS$268,13,FALSE)</f>
        <v>0</v>
      </c>
    </row>
    <row r="139" spans="166:168" x14ac:dyDescent="0.25">
      <c r="FJ139" s="157"/>
      <c r="FK139" s="134">
        <f t="shared" si="175"/>
        <v>0</v>
      </c>
      <c r="FL139">
        <f>VLOOKUP(FF139,'SIMULADOR COM SALDO'!$BF$22:$BS$268,13,FALSE)</f>
        <v>0</v>
      </c>
    </row>
    <row r="140" spans="166:168" x14ac:dyDescent="0.25">
      <c r="FJ140" s="157"/>
      <c r="FK140" s="134">
        <f t="shared" ref="FK140:FK203" si="176">(FG140-FJ140)/18</f>
        <v>0</v>
      </c>
      <c r="FL140">
        <f>VLOOKUP(FF140,'SIMULADOR COM SALDO'!$BF$22:$BS$268,13,FALSE)</f>
        <v>0</v>
      </c>
    </row>
    <row r="141" spans="166:168" x14ac:dyDescent="0.25">
      <c r="FJ141" s="157"/>
      <c r="FK141" s="134">
        <f t="shared" si="176"/>
        <v>0</v>
      </c>
      <c r="FL141">
        <f>VLOOKUP(FF141,'SIMULADOR COM SALDO'!$BF$22:$BS$268,13,FALSE)</f>
        <v>0</v>
      </c>
    </row>
    <row r="142" spans="166:168" x14ac:dyDescent="0.25">
      <c r="FJ142" s="157"/>
      <c r="FK142" s="134">
        <f t="shared" si="176"/>
        <v>0</v>
      </c>
      <c r="FL142">
        <f>VLOOKUP(FF142,'SIMULADOR COM SALDO'!$BF$22:$BS$268,13,FALSE)</f>
        <v>0</v>
      </c>
    </row>
    <row r="143" spans="166:168" x14ac:dyDescent="0.25">
      <c r="FJ143" s="157"/>
      <c r="FK143" s="134">
        <f t="shared" si="176"/>
        <v>0</v>
      </c>
      <c r="FL143">
        <f>VLOOKUP(FF143,'SIMULADOR COM SALDO'!$BF$22:$BS$268,13,FALSE)</f>
        <v>0</v>
      </c>
    </row>
    <row r="144" spans="166:168" x14ac:dyDescent="0.25">
      <c r="FJ144" s="157"/>
      <c r="FK144" s="134">
        <f t="shared" si="176"/>
        <v>0</v>
      </c>
      <c r="FL144">
        <f>VLOOKUP(FF144,'SIMULADOR COM SALDO'!$BF$22:$BS$268,13,FALSE)</f>
        <v>0</v>
      </c>
    </row>
    <row r="145" spans="166:168" x14ac:dyDescent="0.25">
      <c r="FJ145" s="157"/>
      <c r="FK145" s="134">
        <f t="shared" si="176"/>
        <v>0</v>
      </c>
      <c r="FL145">
        <f>VLOOKUP(FF145,'SIMULADOR COM SALDO'!$BF$22:$BS$268,13,FALSE)</f>
        <v>0</v>
      </c>
    </row>
    <row r="146" spans="166:168" x14ac:dyDescent="0.25">
      <c r="FJ146" s="157"/>
      <c r="FK146" s="134">
        <f t="shared" si="176"/>
        <v>0</v>
      </c>
      <c r="FL146">
        <f>VLOOKUP(FF146,'SIMULADOR COM SALDO'!$BF$22:$BS$268,13,FALSE)</f>
        <v>0</v>
      </c>
    </row>
    <row r="147" spans="166:168" x14ac:dyDescent="0.25">
      <c r="FJ147" s="157"/>
      <c r="FK147" s="134">
        <f t="shared" si="176"/>
        <v>0</v>
      </c>
      <c r="FL147">
        <f>VLOOKUP(FF147,'SIMULADOR COM SALDO'!$BF$22:$BS$268,13,FALSE)</f>
        <v>0</v>
      </c>
    </row>
    <row r="148" spans="166:168" x14ac:dyDescent="0.25">
      <c r="FJ148" s="157"/>
      <c r="FK148" s="134">
        <f t="shared" si="176"/>
        <v>0</v>
      </c>
      <c r="FL148">
        <f>VLOOKUP(FF148,'SIMULADOR COM SALDO'!$BF$22:$BS$268,13,FALSE)</f>
        <v>0</v>
      </c>
    </row>
    <row r="149" spans="166:168" x14ac:dyDescent="0.25">
      <c r="FJ149" s="157"/>
      <c r="FK149" s="134">
        <f t="shared" si="176"/>
        <v>0</v>
      </c>
      <c r="FL149">
        <f>VLOOKUP(FF149,'SIMULADOR COM SALDO'!$BF$22:$BS$268,13,FALSE)</f>
        <v>0</v>
      </c>
    </row>
    <row r="150" spans="166:168" x14ac:dyDescent="0.25">
      <c r="FJ150" s="157"/>
      <c r="FK150" s="134">
        <f t="shared" si="176"/>
        <v>0</v>
      </c>
      <c r="FL150">
        <f>VLOOKUP(FF150,'SIMULADOR COM SALDO'!$BF$22:$BS$268,13,FALSE)</f>
        <v>0</v>
      </c>
    </row>
    <row r="151" spans="166:168" x14ac:dyDescent="0.25">
      <c r="FJ151" s="157"/>
      <c r="FK151" s="134">
        <f t="shared" si="176"/>
        <v>0</v>
      </c>
      <c r="FL151">
        <f>VLOOKUP(FF151,'SIMULADOR COM SALDO'!$BF$22:$BS$268,13,FALSE)</f>
        <v>0</v>
      </c>
    </row>
    <row r="152" spans="166:168" x14ac:dyDescent="0.25">
      <c r="FJ152" s="157"/>
      <c r="FK152" s="134">
        <f t="shared" si="176"/>
        <v>0</v>
      </c>
      <c r="FL152">
        <f>VLOOKUP(FF152,'SIMULADOR COM SALDO'!$BF$22:$BS$268,13,FALSE)</f>
        <v>0</v>
      </c>
    </row>
    <row r="153" spans="166:168" x14ac:dyDescent="0.25">
      <c r="FJ153" s="157"/>
      <c r="FK153" s="134">
        <f t="shared" si="176"/>
        <v>0</v>
      </c>
      <c r="FL153">
        <f>VLOOKUP(FF153,'SIMULADOR COM SALDO'!$BF$22:$BS$268,13,FALSE)</f>
        <v>0</v>
      </c>
    </row>
    <row r="154" spans="166:168" x14ac:dyDescent="0.25">
      <c r="FJ154" s="157"/>
      <c r="FK154" s="134">
        <f t="shared" si="176"/>
        <v>0</v>
      </c>
      <c r="FL154">
        <f>VLOOKUP(FF154,'SIMULADOR COM SALDO'!$BF$22:$BS$268,13,FALSE)</f>
        <v>0</v>
      </c>
    </row>
    <row r="155" spans="166:168" x14ac:dyDescent="0.25">
      <c r="FJ155" s="157"/>
      <c r="FK155" s="134">
        <f t="shared" si="176"/>
        <v>0</v>
      </c>
      <c r="FL155">
        <f>VLOOKUP(FF155,'SIMULADOR COM SALDO'!$BF$22:$BS$268,13,FALSE)</f>
        <v>0</v>
      </c>
    </row>
    <row r="156" spans="166:168" x14ac:dyDescent="0.25">
      <c r="FJ156" s="157"/>
      <c r="FK156" s="134">
        <f t="shared" si="176"/>
        <v>0</v>
      </c>
      <c r="FL156">
        <f>VLOOKUP(FF156,'SIMULADOR COM SALDO'!$BF$22:$BS$268,13,FALSE)</f>
        <v>0</v>
      </c>
    </row>
    <row r="157" spans="166:168" x14ac:dyDescent="0.25">
      <c r="FJ157" s="157"/>
      <c r="FK157" s="134">
        <f t="shared" si="176"/>
        <v>0</v>
      </c>
      <c r="FL157">
        <f>VLOOKUP(FF157,'SIMULADOR COM SALDO'!$BF$22:$BS$268,13,FALSE)</f>
        <v>0</v>
      </c>
    </row>
    <row r="158" spans="166:168" x14ac:dyDescent="0.25">
      <c r="FJ158" s="157"/>
      <c r="FK158" s="134">
        <f t="shared" si="176"/>
        <v>0</v>
      </c>
      <c r="FL158">
        <f>VLOOKUP(FF158,'SIMULADOR COM SALDO'!$BF$22:$BS$268,13,FALSE)</f>
        <v>0</v>
      </c>
    </row>
    <row r="159" spans="166:168" x14ac:dyDescent="0.25">
      <c r="FJ159" s="157"/>
      <c r="FK159" s="134">
        <f t="shared" si="176"/>
        <v>0</v>
      </c>
      <c r="FL159">
        <f>VLOOKUP(FF159,'SIMULADOR COM SALDO'!$BF$22:$BS$268,13,FALSE)</f>
        <v>0</v>
      </c>
    </row>
    <row r="160" spans="166:168" x14ac:dyDescent="0.25">
      <c r="FJ160" s="157"/>
      <c r="FK160" s="134">
        <f t="shared" si="176"/>
        <v>0</v>
      </c>
      <c r="FL160">
        <f>VLOOKUP(FF160,'SIMULADOR COM SALDO'!$BF$22:$BS$268,13,FALSE)</f>
        <v>0</v>
      </c>
    </row>
    <row r="161" spans="166:168" x14ac:dyDescent="0.25">
      <c r="FJ161" s="157"/>
      <c r="FK161" s="134">
        <f t="shared" si="176"/>
        <v>0</v>
      </c>
      <c r="FL161">
        <f>VLOOKUP(FF161,'SIMULADOR COM SALDO'!$BF$22:$BS$268,13,FALSE)</f>
        <v>0</v>
      </c>
    </row>
    <row r="162" spans="166:168" x14ac:dyDescent="0.25">
      <c r="FJ162" s="157"/>
      <c r="FK162" s="134">
        <f t="shared" si="176"/>
        <v>0</v>
      </c>
      <c r="FL162">
        <f>VLOOKUP(FF162,'SIMULADOR COM SALDO'!$BF$22:$BS$268,13,FALSE)</f>
        <v>0</v>
      </c>
    </row>
    <row r="163" spans="166:168" x14ac:dyDescent="0.25">
      <c r="FJ163" s="157"/>
      <c r="FK163" s="134">
        <f t="shared" si="176"/>
        <v>0</v>
      </c>
      <c r="FL163">
        <f>VLOOKUP(FF163,'SIMULADOR COM SALDO'!$BF$22:$BS$268,13,FALSE)</f>
        <v>0</v>
      </c>
    </row>
    <row r="164" spans="166:168" x14ac:dyDescent="0.25">
      <c r="FJ164" s="157"/>
      <c r="FK164" s="134">
        <f t="shared" si="176"/>
        <v>0</v>
      </c>
      <c r="FL164">
        <f>VLOOKUP(FF164,'SIMULADOR COM SALDO'!$BF$22:$BS$268,13,FALSE)</f>
        <v>0</v>
      </c>
    </row>
    <row r="165" spans="166:168" x14ac:dyDescent="0.25">
      <c r="FJ165" s="157"/>
      <c r="FK165" s="134">
        <f t="shared" si="176"/>
        <v>0</v>
      </c>
      <c r="FL165">
        <f>VLOOKUP(FF165,'SIMULADOR COM SALDO'!$BF$22:$BS$268,13,FALSE)</f>
        <v>0</v>
      </c>
    </row>
    <row r="166" spans="166:168" x14ac:dyDescent="0.25">
      <c r="FJ166" s="157"/>
      <c r="FK166" s="134">
        <f t="shared" si="176"/>
        <v>0</v>
      </c>
      <c r="FL166">
        <f>VLOOKUP(FF166,'SIMULADOR COM SALDO'!$BF$22:$BS$268,13,FALSE)</f>
        <v>0</v>
      </c>
    </row>
    <row r="167" spans="166:168" x14ac:dyDescent="0.25">
      <c r="FJ167" s="157"/>
      <c r="FK167" s="134">
        <f t="shared" si="176"/>
        <v>0</v>
      </c>
      <c r="FL167">
        <f>VLOOKUP(FF167,'SIMULADOR COM SALDO'!$BF$22:$BS$268,13,FALSE)</f>
        <v>0</v>
      </c>
    </row>
    <row r="168" spans="166:168" x14ac:dyDescent="0.25">
      <c r="FJ168" s="157"/>
      <c r="FK168" s="134">
        <f t="shared" si="176"/>
        <v>0</v>
      </c>
      <c r="FL168">
        <f>VLOOKUP(FF168,'SIMULADOR COM SALDO'!$BF$22:$BS$268,13,FALSE)</f>
        <v>0</v>
      </c>
    </row>
    <row r="169" spans="166:168" x14ac:dyDescent="0.25">
      <c r="FJ169" s="157"/>
      <c r="FK169" s="134">
        <f t="shared" si="176"/>
        <v>0</v>
      </c>
      <c r="FL169">
        <f>VLOOKUP(FF169,'SIMULADOR COM SALDO'!$BF$22:$BS$268,13,FALSE)</f>
        <v>0</v>
      </c>
    </row>
    <row r="170" spans="166:168" x14ac:dyDescent="0.25">
      <c r="FJ170" s="157"/>
      <c r="FK170" s="134">
        <f t="shared" si="176"/>
        <v>0</v>
      </c>
      <c r="FL170">
        <f>VLOOKUP(FF170,'SIMULADOR COM SALDO'!$BF$22:$BS$268,13,FALSE)</f>
        <v>0</v>
      </c>
    </row>
    <row r="171" spans="166:168" x14ac:dyDescent="0.25">
      <c r="FJ171" s="157"/>
      <c r="FK171" s="134">
        <f t="shared" si="176"/>
        <v>0</v>
      </c>
      <c r="FL171">
        <f>VLOOKUP(FF171,'SIMULADOR COM SALDO'!$BF$22:$BS$268,13,FALSE)</f>
        <v>0</v>
      </c>
    </row>
    <row r="172" spans="166:168" x14ac:dyDescent="0.25">
      <c r="FJ172" s="157"/>
      <c r="FK172" s="134">
        <f t="shared" si="176"/>
        <v>0</v>
      </c>
      <c r="FL172">
        <f>VLOOKUP(FF172,'SIMULADOR COM SALDO'!$BF$22:$BS$268,13,FALSE)</f>
        <v>0</v>
      </c>
    </row>
    <row r="173" spans="166:168" x14ac:dyDescent="0.25">
      <c r="FJ173" s="157"/>
      <c r="FK173" s="134">
        <f t="shared" si="176"/>
        <v>0</v>
      </c>
      <c r="FL173">
        <f>VLOOKUP(FF173,'SIMULADOR COM SALDO'!$BF$22:$BS$268,13,FALSE)</f>
        <v>0</v>
      </c>
    </row>
    <row r="174" spans="166:168" x14ac:dyDescent="0.25">
      <c r="FJ174" s="157"/>
      <c r="FK174" s="134">
        <f t="shared" si="176"/>
        <v>0</v>
      </c>
      <c r="FL174">
        <f>VLOOKUP(FF174,'SIMULADOR COM SALDO'!$BF$22:$BS$268,13,FALSE)</f>
        <v>0</v>
      </c>
    </row>
    <row r="175" spans="166:168" x14ac:dyDescent="0.25">
      <c r="FJ175" s="157"/>
      <c r="FK175" s="134">
        <f t="shared" si="176"/>
        <v>0</v>
      </c>
      <c r="FL175">
        <f>VLOOKUP(FF175,'SIMULADOR COM SALDO'!$BF$22:$BS$268,13,FALSE)</f>
        <v>0</v>
      </c>
    </row>
    <row r="176" spans="166:168" x14ac:dyDescent="0.25">
      <c r="FJ176" s="157"/>
      <c r="FK176" s="134">
        <f t="shared" si="176"/>
        <v>0</v>
      </c>
      <c r="FL176">
        <f>VLOOKUP(FF176,'SIMULADOR COM SALDO'!$BF$22:$BS$268,13,FALSE)</f>
        <v>0</v>
      </c>
    </row>
    <row r="177" spans="166:168" x14ac:dyDescent="0.25">
      <c r="FJ177" s="157"/>
      <c r="FK177" s="134">
        <f t="shared" si="176"/>
        <v>0</v>
      </c>
      <c r="FL177">
        <f>VLOOKUP(FF177,'SIMULADOR COM SALDO'!$BF$22:$BS$268,13,FALSE)</f>
        <v>0</v>
      </c>
    </row>
    <row r="178" spans="166:168" x14ac:dyDescent="0.25">
      <c r="FJ178" s="157"/>
      <c r="FK178" s="134">
        <f t="shared" si="176"/>
        <v>0</v>
      </c>
      <c r="FL178">
        <f>VLOOKUP(FF178,'SIMULADOR COM SALDO'!$BF$22:$BS$268,13,FALSE)</f>
        <v>0</v>
      </c>
    </row>
    <row r="179" spans="166:168" x14ac:dyDescent="0.25">
      <c r="FJ179" s="157"/>
      <c r="FK179" s="134">
        <f t="shared" si="176"/>
        <v>0</v>
      </c>
      <c r="FL179">
        <f>VLOOKUP(FF179,'SIMULADOR COM SALDO'!$BF$22:$BS$268,13,FALSE)</f>
        <v>0</v>
      </c>
    </row>
    <row r="180" spans="166:168" x14ac:dyDescent="0.25">
      <c r="FJ180" s="157"/>
      <c r="FK180" s="134">
        <f t="shared" si="176"/>
        <v>0</v>
      </c>
      <c r="FL180">
        <f>VLOOKUP(FF180,'SIMULADOR COM SALDO'!$BF$22:$BS$268,13,FALSE)</f>
        <v>0</v>
      </c>
    </row>
    <row r="181" spans="166:168" x14ac:dyDescent="0.25">
      <c r="FJ181" s="157"/>
      <c r="FK181" s="134">
        <f t="shared" si="176"/>
        <v>0</v>
      </c>
      <c r="FL181">
        <f>VLOOKUP(FF181,'SIMULADOR COM SALDO'!$BF$22:$BS$268,13,FALSE)</f>
        <v>0</v>
      </c>
    </row>
    <row r="182" spans="166:168" x14ac:dyDescent="0.25">
      <c r="FJ182" s="157"/>
      <c r="FK182" s="134">
        <f t="shared" si="176"/>
        <v>0</v>
      </c>
      <c r="FL182">
        <f>VLOOKUP(FF182,'SIMULADOR COM SALDO'!$BF$22:$BS$268,13,FALSE)</f>
        <v>0</v>
      </c>
    </row>
    <row r="183" spans="166:168" x14ac:dyDescent="0.25">
      <c r="FJ183" s="157"/>
      <c r="FK183" s="134">
        <f t="shared" si="176"/>
        <v>0</v>
      </c>
      <c r="FL183">
        <f>VLOOKUP(FF183,'SIMULADOR COM SALDO'!$BF$22:$BS$268,13,FALSE)</f>
        <v>0</v>
      </c>
    </row>
    <row r="184" spans="166:168" x14ac:dyDescent="0.25">
      <c r="FJ184" s="157"/>
      <c r="FK184" s="134">
        <f t="shared" si="176"/>
        <v>0</v>
      </c>
      <c r="FL184">
        <f>VLOOKUP(FF184,'SIMULADOR COM SALDO'!$BF$22:$BS$268,13,FALSE)</f>
        <v>0</v>
      </c>
    </row>
    <row r="185" spans="166:168" x14ac:dyDescent="0.25">
      <c r="FJ185" s="157"/>
      <c r="FK185" s="134">
        <f t="shared" si="176"/>
        <v>0</v>
      </c>
      <c r="FL185">
        <f>VLOOKUP(FF185,'SIMULADOR COM SALDO'!$BF$22:$BS$268,13,FALSE)</f>
        <v>0</v>
      </c>
    </row>
    <row r="186" spans="166:168" x14ac:dyDescent="0.25">
      <c r="FJ186" s="157"/>
      <c r="FK186" s="134">
        <f t="shared" si="176"/>
        <v>0</v>
      </c>
      <c r="FL186">
        <f>VLOOKUP(FF186,'SIMULADOR COM SALDO'!$BF$22:$BS$268,13,FALSE)</f>
        <v>0</v>
      </c>
    </row>
    <row r="187" spans="166:168" x14ac:dyDescent="0.25">
      <c r="FJ187" s="157"/>
      <c r="FK187" s="134">
        <f t="shared" si="176"/>
        <v>0</v>
      </c>
      <c r="FL187">
        <f>VLOOKUP(FF187,'SIMULADOR COM SALDO'!$BF$22:$BS$268,13,FALSE)</f>
        <v>0</v>
      </c>
    </row>
    <row r="188" spans="166:168" x14ac:dyDescent="0.25">
      <c r="FJ188" s="157"/>
      <c r="FK188" s="134">
        <f t="shared" si="176"/>
        <v>0</v>
      </c>
      <c r="FL188">
        <f>VLOOKUP(FF188,'SIMULADOR COM SALDO'!$BF$22:$BS$268,13,FALSE)</f>
        <v>0</v>
      </c>
    </row>
    <row r="189" spans="166:168" x14ac:dyDescent="0.25">
      <c r="FJ189" s="157"/>
      <c r="FK189" s="134">
        <f t="shared" si="176"/>
        <v>0</v>
      </c>
      <c r="FL189">
        <f>VLOOKUP(FF189,'SIMULADOR COM SALDO'!$BF$22:$BS$268,13,FALSE)</f>
        <v>0</v>
      </c>
    </row>
    <row r="190" spans="166:168" x14ac:dyDescent="0.25">
      <c r="FJ190" s="157"/>
      <c r="FK190" s="134">
        <f t="shared" si="176"/>
        <v>0</v>
      </c>
      <c r="FL190">
        <f>VLOOKUP(FF190,'SIMULADOR COM SALDO'!$BF$22:$BS$268,13,FALSE)</f>
        <v>0</v>
      </c>
    </row>
    <row r="191" spans="166:168" x14ac:dyDescent="0.25">
      <c r="FJ191" s="157"/>
      <c r="FK191" s="134">
        <f t="shared" si="176"/>
        <v>0</v>
      </c>
      <c r="FL191">
        <f>VLOOKUP(FF191,'SIMULADOR COM SALDO'!$BF$22:$BS$268,13,FALSE)</f>
        <v>0</v>
      </c>
    </row>
    <row r="192" spans="166:168" x14ac:dyDescent="0.25">
      <c r="FJ192" s="157"/>
      <c r="FK192" s="134">
        <f t="shared" si="176"/>
        <v>0</v>
      </c>
      <c r="FL192">
        <f>VLOOKUP(FF192,'SIMULADOR COM SALDO'!$BF$22:$BS$268,13,FALSE)</f>
        <v>0</v>
      </c>
    </row>
    <row r="193" spans="166:168" x14ac:dyDescent="0.25">
      <c r="FJ193" s="157"/>
      <c r="FK193" s="134">
        <f t="shared" si="176"/>
        <v>0</v>
      </c>
      <c r="FL193">
        <f>VLOOKUP(FF193,'SIMULADOR COM SALDO'!$BF$22:$BS$268,13,FALSE)</f>
        <v>0</v>
      </c>
    </row>
    <row r="194" spans="166:168" x14ac:dyDescent="0.25">
      <c r="FJ194" s="157"/>
      <c r="FK194" s="134">
        <f t="shared" si="176"/>
        <v>0</v>
      </c>
      <c r="FL194">
        <f>VLOOKUP(FF194,'SIMULADOR COM SALDO'!$BF$22:$BS$268,13,FALSE)</f>
        <v>0</v>
      </c>
    </row>
    <row r="195" spans="166:168" x14ac:dyDescent="0.25">
      <c r="FJ195" s="157"/>
      <c r="FK195" s="134">
        <f t="shared" si="176"/>
        <v>0</v>
      </c>
      <c r="FL195">
        <f>VLOOKUP(FF195,'SIMULADOR COM SALDO'!$BF$22:$BS$268,13,FALSE)</f>
        <v>0</v>
      </c>
    </row>
    <row r="196" spans="166:168" x14ac:dyDescent="0.25">
      <c r="FJ196" s="157"/>
      <c r="FK196" s="134">
        <f t="shared" si="176"/>
        <v>0</v>
      </c>
      <c r="FL196">
        <f>VLOOKUP(FF196,'SIMULADOR COM SALDO'!$BF$22:$BS$268,13,FALSE)</f>
        <v>0</v>
      </c>
    </row>
    <row r="197" spans="166:168" x14ac:dyDescent="0.25">
      <c r="FJ197" s="157"/>
      <c r="FK197" s="134">
        <f t="shared" si="176"/>
        <v>0</v>
      </c>
      <c r="FL197">
        <f>VLOOKUP(FF197,'SIMULADOR COM SALDO'!$BF$22:$BS$268,13,FALSE)</f>
        <v>0</v>
      </c>
    </row>
    <row r="198" spans="166:168" x14ac:dyDescent="0.25">
      <c r="FJ198" s="157"/>
      <c r="FK198" s="134">
        <f t="shared" si="176"/>
        <v>0</v>
      </c>
      <c r="FL198">
        <f>VLOOKUP(FF198,'SIMULADOR COM SALDO'!$BF$22:$BS$268,13,FALSE)</f>
        <v>0</v>
      </c>
    </row>
    <row r="199" spans="166:168" x14ac:dyDescent="0.25">
      <c r="FJ199" s="157"/>
      <c r="FK199" s="134">
        <f t="shared" si="176"/>
        <v>0</v>
      </c>
      <c r="FL199">
        <f>VLOOKUP(FF199,'SIMULADOR COM SALDO'!$BF$22:$BS$268,13,FALSE)</f>
        <v>0</v>
      </c>
    </row>
    <row r="200" spans="166:168" x14ac:dyDescent="0.25">
      <c r="FJ200" s="157"/>
      <c r="FK200" s="134">
        <f t="shared" si="176"/>
        <v>0</v>
      </c>
      <c r="FL200">
        <f>VLOOKUP(FF200,'SIMULADOR COM SALDO'!$BF$22:$BS$268,13,FALSE)</f>
        <v>0</v>
      </c>
    </row>
    <row r="201" spans="166:168" x14ac:dyDescent="0.25">
      <c r="FJ201" s="157"/>
      <c r="FK201" s="134">
        <f t="shared" si="176"/>
        <v>0</v>
      </c>
      <c r="FL201">
        <f>VLOOKUP(FF201,'SIMULADOR COM SALDO'!$BF$22:$BS$268,13,FALSE)</f>
        <v>0</v>
      </c>
    </row>
    <row r="202" spans="166:168" x14ac:dyDescent="0.25">
      <c r="FJ202" s="157"/>
      <c r="FK202" s="134">
        <f t="shared" si="176"/>
        <v>0</v>
      </c>
      <c r="FL202">
        <f>VLOOKUP(FF202,'SIMULADOR COM SALDO'!$BF$22:$BS$268,13,FALSE)</f>
        <v>0</v>
      </c>
    </row>
    <row r="203" spans="166:168" x14ac:dyDescent="0.25">
      <c r="FJ203" s="157"/>
      <c r="FK203" s="134">
        <f t="shared" si="176"/>
        <v>0</v>
      </c>
      <c r="FL203">
        <f>VLOOKUP(FF203,'SIMULADOR COM SALDO'!$BF$22:$BS$268,13,FALSE)</f>
        <v>0</v>
      </c>
    </row>
    <row r="204" spans="166:168" x14ac:dyDescent="0.25">
      <c r="FJ204" s="157"/>
      <c r="FK204" s="134">
        <f t="shared" ref="FK204:FK210" si="177">(FG204-FJ204)/18</f>
        <v>0</v>
      </c>
      <c r="FL204">
        <f>VLOOKUP(FF204,'SIMULADOR COM SALDO'!$BF$22:$BS$268,13,FALSE)</f>
        <v>0</v>
      </c>
    </row>
    <row r="205" spans="166:168" x14ac:dyDescent="0.25">
      <c r="FJ205" s="157"/>
      <c r="FK205" s="134">
        <f t="shared" si="177"/>
        <v>0</v>
      </c>
      <c r="FL205">
        <f>VLOOKUP(FF205,'SIMULADOR COM SALDO'!$BF$22:$BS$268,13,FALSE)</f>
        <v>0</v>
      </c>
    </row>
    <row r="206" spans="166:168" x14ac:dyDescent="0.25">
      <c r="FJ206" s="157"/>
      <c r="FK206" s="134">
        <f t="shared" si="177"/>
        <v>0</v>
      </c>
      <c r="FL206">
        <f>VLOOKUP(FF206,'SIMULADOR COM SALDO'!$BF$22:$BS$268,13,FALSE)</f>
        <v>0</v>
      </c>
    </row>
    <row r="207" spans="166:168" x14ac:dyDescent="0.25">
      <c r="FJ207" s="157"/>
      <c r="FK207" s="134">
        <f t="shared" si="177"/>
        <v>0</v>
      </c>
      <c r="FL207">
        <f>VLOOKUP(FF207,'SIMULADOR COM SALDO'!$BF$22:$BS$268,13,FALSE)</f>
        <v>0</v>
      </c>
    </row>
    <row r="208" spans="166:168" x14ac:dyDescent="0.25">
      <c r="FJ208" s="157"/>
      <c r="FK208" s="134">
        <f t="shared" si="177"/>
        <v>0</v>
      </c>
      <c r="FL208">
        <f>VLOOKUP(FF208,'SIMULADOR COM SALDO'!$BF$22:$BS$268,13,FALSE)</f>
        <v>0</v>
      </c>
    </row>
    <row r="209" spans="166:168" x14ac:dyDescent="0.25">
      <c r="FJ209" s="157"/>
      <c r="FK209" s="134">
        <f t="shared" si="177"/>
        <v>0</v>
      </c>
      <c r="FL209">
        <f>VLOOKUP(FF209,'SIMULADOR COM SALDO'!$BF$22:$BS$268,13,FALSE)</f>
        <v>0</v>
      </c>
    </row>
    <row r="210" spans="166:168" x14ac:dyDescent="0.25">
      <c r="FJ210" s="157"/>
      <c r="FK210" s="134">
        <f t="shared" si="177"/>
        <v>0</v>
      </c>
      <c r="FL210">
        <f>VLOOKUP(FF210,'SIMULADOR COM SALDO'!$BF$22:$BS$268,13,FALSE)</f>
        <v>0</v>
      </c>
    </row>
  </sheetData>
  <sheetProtection algorithmName="SHA-512" hashValue="QPySSGuQwXMe9f37t00dLSvLtpZ3ocEC4f2XY840Z8Vd+Fl/0/ewnNgka2mS27kZqyww3bVDx56/ETBPZeB0mA==" saltValue="zN0EYT5IJnQoxa4ocJ5mRA==" spinCount="100000" sheet="1" objects="1" scenarios="1"/>
  <mergeCells count="4">
    <mergeCell ref="H5:I5"/>
    <mergeCell ref="H6:I6"/>
    <mergeCell ref="F9:F10"/>
    <mergeCell ref="F7:F8"/>
  </mergeCells>
  <conditionalFormatting sqref="G11:ET29">
    <cfRule type="cellIs" dxfId="55" priority="2" operator="greaterThan">
      <formula>$L$6</formula>
    </cfRule>
  </conditionalFormatting>
  <conditionalFormatting sqref="H11:ET29">
    <cfRule type="cellIs" dxfId="54" priority="1" operator="lessThan">
      <formula>$L$6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2"/>
  <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9C326AB-5996-43CF-B418-8D0949559636}">
          <x14:formula1>
            <xm:f>'SIMULADOR COM SALDO'!$BU$23:$BU$80</xm:f>
          </x14:formula1>
          <xm:sqref>H6:I6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79FEB8-A73B-4A20-9800-A3E8917D48B3}">
  <sheetPr codeName="Planilha4"/>
  <dimension ref="B1:BZ218"/>
  <sheetViews>
    <sheetView showGridLines="0" showRuler="0" zoomScale="90" zoomScaleNormal="90" workbookViewId="0">
      <selection activeCell="I11" sqref="I11"/>
    </sheetView>
  </sheetViews>
  <sheetFormatPr defaultRowHeight="15" x14ac:dyDescent="0.25"/>
  <cols>
    <col min="1" max="1" width="1" customWidth="1"/>
    <col min="2" max="2" width="23" customWidth="1"/>
    <col min="3" max="3" width="10.42578125" bestFit="1" customWidth="1"/>
    <col min="4" max="4" width="22.28515625" customWidth="1"/>
    <col min="5" max="5" width="19.42578125" customWidth="1"/>
    <col min="6" max="6" width="14.140625" customWidth="1"/>
    <col min="7" max="7" width="13.85546875" customWidth="1"/>
    <col min="8" max="8" width="14.5703125" customWidth="1"/>
    <col min="9" max="9" width="14" customWidth="1"/>
    <col min="10" max="10" width="14.5703125" customWidth="1"/>
    <col min="11" max="11" width="17.85546875" customWidth="1"/>
    <col min="12" max="12" width="15.140625" customWidth="1"/>
    <col min="13" max="13" width="14.5703125" style="161" customWidth="1"/>
    <col min="14" max="15" width="12.140625" style="161" hidden="1" customWidth="1"/>
    <col min="16" max="16" width="9.140625" style="161" hidden="1" customWidth="1"/>
    <col min="17" max="17" width="11.7109375" style="161" hidden="1" customWidth="1"/>
    <col min="18" max="18" width="9.7109375" style="161" hidden="1" customWidth="1"/>
    <col min="19" max="19" width="10.140625" style="161" hidden="1" customWidth="1"/>
    <col min="20" max="20" width="9.42578125" style="161" hidden="1" customWidth="1"/>
    <col min="21" max="21" width="10.7109375" style="161" hidden="1" customWidth="1"/>
    <col min="22" max="22" width="10.28515625" style="161" hidden="1" customWidth="1"/>
    <col min="23" max="23" width="11.140625" style="161" hidden="1" customWidth="1"/>
    <col min="24" max="24" width="9.140625" style="161" hidden="1" customWidth="1"/>
    <col min="25" max="25" width="9.7109375" style="161" hidden="1" customWidth="1"/>
    <col min="26" max="26" width="10.5703125" style="161" hidden="1" customWidth="1"/>
    <col min="27" max="27" width="8.140625" style="161" hidden="1" customWidth="1"/>
    <col min="28" max="28" width="9.140625" style="161" hidden="1" customWidth="1"/>
    <col min="29" max="29" width="11.7109375" style="161" hidden="1" customWidth="1"/>
    <col min="30" max="30" width="11.85546875" style="161" hidden="1" customWidth="1"/>
    <col min="31" max="32" width="9.140625" style="161" hidden="1" customWidth="1"/>
    <col min="33" max="33" width="10.7109375" style="161" hidden="1" customWidth="1"/>
    <col min="34" max="34" width="13" style="161" hidden="1" customWidth="1"/>
    <col min="35" max="35" width="9.140625" style="161" hidden="1" customWidth="1"/>
    <col min="36" max="36" width="9.28515625" style="161" hidden="1" customWidth="1"/>
    <col min="37" max="37" width="10.42578125" style="161" hidden="1" customWidth="1"/>
    <col min="38" max="38" width="11.7109375" style="161" hidden="1" customWidth="1"/>
    <col min="39" max="56" width="9.140625" style="161" hidden="1" customWidth="1"/>
    <col min="57" max="57" width="14" style="161" hidden="1" customWidth="1"/>
    <col min="58" max="58" width="19.5703125" style="161" hidden="1" customWidth="1"/>
    <col min="59" max="63" width="9.140625" style="161" hidden="1" customWidth="1"/>
    <col min="64" max="64" width="9.140625" style="117" hidden="1" customWidth="1"/>
    <col min="65" max="67" width="9.140625" style="161" hidden="1" customWidth="1"/>
    <col min="68" max="68" width="10.5703125" style="162" hidden="1" customWidth="1"/>
    <col min="69" max="69" width="9.140625" style="161" hidden="1" customWidth="1"/>
    <col min="70" max="70" width="22.5703125" style="117" hidden="1" customWidth="1"/>
    <col min="71" max="73" width="9.140625" style="161" hidden="1" customWidth="1"/>
    <col min="74" max="78" width="9.140625" style="161" customWidth="1"/>
    <col min="79" max="86" width="9.140625" customWidth="1"/>
  </cols>
  <sheetData>
    <row r="1" spans="2:78" ht="9" customHeight="1" thickBot="1" x14ac:dyDescent="0.3"/>
    <row r="2" spans="2:78" ht="21.75" customHeight="1" thickBot="1" x14ac:dyDescent="0.3">
      <c r="D2" s="303" t="s">
        <v>62</v>
      </c>
      <c r="E2" s="304"/>
      <c r="F2" s="304"/>
      <c r="G2" s="304"/>
      <c r="H2" s="304"/>
      <c r="I2" s="304"/>
      <c r="J2" s="305"/>
    </row>
    <row r="3" spans="2:78" ht="19.5" customHeight="1" x14ac:dyDescent="0.25">
      <c r="F3" s="92" t="s">
        <v>57</v>
      </c>
      <c r="G3" s="92"/>
      <c r="H3" s="93" t="e">
        <f>VLOOKUP(E8,$BE$23:$BQ$44,10,FALSE)</f>
        <v>#N/A</v>
      </c>
    </row>
    <row r="4" spans="2:78" hidden="1" x14ac:dyDescent="0.25"/>
    <row r="6" spans="2:78" ht="15.75" thickBot="1" x14ac:dyDescent="0.3"/>
    <row r="7" spans="2:78" ht="15.75" hidden="1" thickBot="1" x14ac:dyDescent="0.3"/>
    <row r="8" spans="2:78" ht="22.5" customHeight="1" thickTop="1" thickBot="1" x14ac:dyDescent="0.3">
      <c r="D8" s="148" t="s">
        <v>63</v>
      </c>
      <c r="E8" s="35" t="s">
        <v>51</v>
      </c>
      <c r="G8" s="308">
        <f ca="1">H35</f>
        <v>45169</v>
      </c>
      <c r="H8" s="309"/>
      <c r="O8" s="163">
        <f>VLOOKUP(E8,$BE$24:$BR$600,14,FALSE)</f>
        <v>2.9999999999999997E-4</v>
      </c>
      <c r="AK8" s="161" t="s">
        <v>60</v>
      </c>
      <c r="AL8" s="161">
        <f>VLOOKUP(E8,$BE$23:$BH$600,4,FALSE)</f>
        <v>84</v>
      </c>
    </row>
    <row r="9" spans="2:78" ht="20.25" customHeight="1" thickTop="1" x14ac:dyDescent="0.25">
      <c r="C9" s="3"/>
      <c r="O9" s="164">
        <f ca="1">TODAY()+Q11</f>
        <v>45169</v>
      </c>
      <c r="Q9" s="165"/>
      <c r="R9" s="166"/>
    </row>
    <row r="10" spans="2:78" ht="9.75" customHeight="1" x14ac:dyDescent="0.25">
      <c r="C10" s="3"/>
      <c r="D10" s="3"/>
      <c r="E10" s="3"/>
      <c r="F10" s="3"/>
      <c r="G10" s="3"/>
      <c r="H10" s="3"/>
      <c r="I10" s="3"/>
      <c r="J10" s="3"/>
      <c r="K10" s="3"/>
      <c r="O10" s="164"/>
      <c r="Q10" s="165"/>
      <c r="R10" s="166"/>
    </row>
    <row r="11" spans="2:78" ht="7.5" customHeight="1" x14ac:dyDescent="0.25">
      <c r="Q11" s="167">
        <f>IF(HOUR(Q9)&lt;17,0,1)</f>
        <v>0</v>
      </c>
      <c r="R11" s="166"/>
      <c r="S11" s="166"/>
      <c r="AB11" s="168"/>
      <c r="AC11" s="168"/>
      <c r="AD11" s="168"/>
      <c r="AE11" s="168"/>
      <c r="AF11" s="168"/>
      <c r="AG11" s="168"/>
      <c r="AH11" s="168"/>
      <c r="AI11" s="168"/>
      <c r="AJ11" s="168"/>
      <c r="AK11" s="168"/>
      <c r="AL11" s="168"/>
    </row>
    <row r="12" spans="2:78" ht="13.5" customHeight="1" thickBot="1" x14ac:dyDescent="0.3">
      <c r="D12" s="73"/>
      <c r="F12" s="7"/>
      <c r="I12" s="33"/>
      <c r="J12" s="7"/>
      <c r="K12" s="7"/>
      <c r="L12" s="7"/>
      <c r="M12" s="169"/>
      <c r="O12" s="170">
        <f>VLOOKUP(E8,$BE$23:$BK$600,7,FALSE)</f>
        <v>10</v>
      </c>
      <c r="T12" s="161" t="s">
        <v>55</v>
      </c>
      <c r="AB12" s="168"/>
      <c r="AC12" s="168"/>
      <c r="AD12" s="168"/>
      <c r="AE12" s="168"/>
      <c r="AF12" s="168"/>
      <c r="AG12" s="168"/>
      <c r="AH12" s="168"/>
      <c r="AI12" s="168"/>
      <c r="AJ12" s="168"/>
      <c r="AK12" s="168"/>
      <c r="AL12" s="168"/>
    </row>
    <row r="13" spans="2:78" ht="15.75" thickBot="1" x14ac:dyDescent="0.3">
      <c r="B13" s="306" t="s">
        <v>26</v>
      </c>
      <c r="C13" s="307"/>
      <c r="D13" s="16">
        <v>1</v>
      </c>
      <c r="E13" s="16">
        <v>2</v>
      </c>
      <c r="F13" s="16">
        <v>3</v>
      </c>
      <c r="G13" s="16">
        <v>4</v>
      </c>
      <c r="H13" s="16">
        <v>5</v>
      </c>
      <c r="I13" s="16">
        <v>6</v>
      </c>
      <c r="J13" s="16">
        <v>7</v>
      </c>
      <c r="K13" s="16">
        <v>8</v>
      </c>
      <c r="L13" s="16">
        <v>9</v>
      </c>
      <c r="M13" s="16">
        <v>10</v>
      </c>
      <c r="O13" s="164">
        <f ca="1">IF(DAY(AD15)&gt;O12,EDATE(AD15-DAY(AD15)+O12,1),EDATE(AD15-DAY(AD15)+O12,0))</f>
        <v>45179</v>
      </c>
      <c r="R13" s="161">
        <f>D16-D20</f>
        <v>24</v>
      </c>
      <c r="T13" s="171">
        <f>VLOOKUP(E8,$BE$23:$BQ$600,13,FALSE)</f>
        <v>1.9099999999999999E-2</v>
      </c>
      <c r="AB13" s="172" t="s">
        <v>9</v>
      </c>
      <c r="AC13" s="172"/>
      <c r="AD13" s="168"/>
      <c r="AE13" s="168"/>
      <c r="AF13" s="172" t="s">
        <v>10</v>
      </c>
      <c r="AG13" s="172"/>
      <c r="AH13" s="168"/>
      <c r="AI13" s="168"/>
      <c r="AJ13" s="172" t="s">
        <v>11</v>
      </c>
      <c r="AK13" s="172"/>
      <c r="AL13" s="172"/>
      <c r="BE13" s="161" t="s">
        <v>34</v>
      </c>
      <c r="BF13" s="171">
        <v>1.2800000000000001E-2</v>
      </c>
    </row>
    <row r="14" spans="2:78" x14ac:dyDescent="0.25">
      <c r="O14" s="173">
        <f ca="1">WEEKDAY(O9,11)</f>
        <v>4</v>
      </c>
      <c r="R14" s="161" t="s">
        <v>2</v>
      </c>
      <c r="T14" s="174"/>
      <c r="AB14" s="317" t="s">
        <v>12</v>
      </c>
      <c r="AC14" s="317"/>
      <c r="AD14" s="315"/>
      <c r="AE14" s="168"/>
      <c r="AF14" s="315" t="s">
        <v>13</v>
      </c>
      <c r="AG14" s="315"/>
      <c r="AH14" s="315"/>
      <c r="AI14" s="168"/>
      <c r="AJ14" s="315" t="s">
        <v>14</v>
      </c>
      <c r="AK14" s="315"/>
      <c r="AL14" s="315"/>
      <c r="BE14" s="161" t="s">
        <v>35</v>
      </c>
      <c r="BF14" s="171">
        <v>1.4500000000000001E-2</v>
      </c>
    </row>
    <row r="15" spans="2:78" s="19" customFormat="1" ht="19.5" customHeight="1" x14ac:dyDescent="0.25">
      <c r="B15" s="297" t="s">
        <v>67</v>
      </c>
      <c r="C15" s="298"/>
      <c r="D15" s="65">
        <v>13013.68</v>
      </c>
      <c r="E15" s="65">
        <v>10800</v>
      </c>
      <c r="F15" s="65"/>
      <c r="G15" s="65"/>
      <c r="H15" s="65"/>
      <c r="I15" s="65"/>
      <c r="J15" s="65"/>
      <c r="K15" s="65"/>
      <c r="L15" s="65"/>
      <c r="M15" s="175"/>
      <c r="N15" s="176"/>
      <c r="O15" s="176">
        <f ca="1">IF(O14&gt;5,2,0)</f>
        <v>0</v>
      </c>
      <c r="P15" s="176">
        <v>0</v>
      </c>
      <c r="Q15" s="177">
        <f>-D21</f>
        <v>-10801.44</v>
      </c>
      <c r="R15" s="178">
        <f>IFERROR(-E21,0)</f>
        <v>-9135.6</v>
      </c>
      <c r="S15" s="178">
        <f t="shared" ref="S15:Z15" si="0">IFERROR(-F21,0)</f>
        <v>0</v>
      </c>
      <c r="T15" s="178">
        <f t="shared" si="0"/>
        <v>0</v>
      </c>
      <c r="U15" s="178">
        <f t="shared" si="0"/>
        <v>0</v>
      </c>
      <c r="V15" s="178">
        <f t="shared" si="0"/>
        <v>0</v>
      </c>
      <c r="W15" s="178">
        <f t="shared" si="0"/>
        <v>0</v>
      </c>
      <c r="X15" s="178">
        <f t="shared" si="0"/>
        <v>0</v>
      </c>
      <c r="Y15" s="178">
        <f t="shared" si="0"/>
        <v>0</v>
      </c>
      <c r="Z15" s="178">
        <f t="shared" si="0"/>
        <v>0</v>
      </c>
      <c r="AA15" s="176"/>
      <c r="AB15" s="179" t="s">
        <v>15</v>
      </c>
      <c r="AC15" s="180"/>
      <c r="AD15" s="181">
        <f ca="1">O9</f>
        <v>45169</v>
      </c>
      <c r="AE15" s="182"/>
      <c r="AF15" s="179" t="s">
        <v>15</v>
      </c>
      <c r="AG15" s="180"/>
      <c r="AH15" s="183">
        <f ca="1">AD15</f>
        <v>45169</v>
      </c>
      <c r="AI15" s="182"/>
      <c r="AJ15" s="184" t="s">
        <v>15</v>
      </c>
      <c r="AK15" s="185"/>
      <c r="AL15" s="183">
        <f ca="1">AH15</f>
        <v>45169</v>
      </c>
      <c r="AM15" s="176"/>
      <c r="AN15" s="176"/>
      <c r="AO15" s="176"/>
      <c r="AP15" s="176"/>
      <c r="AQ15" s="176"/>
      <c r="AR15" s="176"/>
      <c r="AS15" s="176"/>
      <c r="AT15" s="176"/>
      <c r="AU15" s="176"/>
      <c r="AV15" s="176"/>
      <c r="AW15" s="176"/>
      <c r="AX15" s="176"/>
      <c r="AY15" s="176"/>
      <c r="AZ15" s="176"/>
      <c r="BA15" s="176"/>
      <c r="BB15" s="176"/>
      <c r="BC15" s="176"/>
      <c r="BD15" s="176"/>
      <c r="BE15" s="161" t="s">
        <v>37</v>
      </c>
      <c r="BF15" s="171">
        <v>1.4999999999999999E-2</v>
      </c>
      <c r="BG15" s="176"/>
      <c r="BH15" s="176"/>
      <c r="BI15" s="176"/>
      <c r="BJ15" s="176"/>
      <c r="BK15" s="176"/>
      <c r="BL15" s="186"/>
      <c r="BM15" s="176"/>
      <c r="BN15" s="176"/>
      <c r="BO15" s="176"/>
      <c r="BP15" s="187"/>
      <c r="BQ15" s="176"/>
      <c r="BR15" s="186"/>
      <c r="BS15" s="176"/>
      <c r="BT15" s="176"/>
      <c r="BU15" s="176"/>
      <c r="BV15" s="176"/>
      <c r="BW15" s="176"/>
      <c r="BX15" s="176"/>
      <c r="BY15" s="176"/>
      <c r="BZ15" s="176"/>
    </row>
    <row r="16" spans="2:78" s="19" customFormat="1" ht="20.25" customHeight="1" x14ac:dyDescent="0.25">
      <c r="B16" s="297" t="s">
        <v>68</v>
      </c>
      <c r="C16" s="298"/>
      <c r="D16" s="66">
        <v>84</v>
      </c>
      <c r="E16" s="66">
        <v>84</v>
      </c>
      <c r="F16" s="66"/>
      <c r="G16" s="66"/>
      <c r="H16" s="66"/>
      <c r="I16" s="66"/>
      <c r="J16" s="66"/>
      <c r="K16" s="66"/>
      <c r="L16" s="66"/>
      <c r="M16" s="188"/>
      <c r="N16" s="176"/>
      <c r="O16" s="189">
        <f ca="1">O9+O15</f>
        <v>45169</v>
      </c>
      <c r="P16" s="176">
        <v>1</v>
      </c>
      <c r="Q16" s="176">
        <f>IF($P16&lt;=D$20,D$17,0)</f>
        <v>276.85000000000002</v>
      </c>
      <c r="R16" s="176">
        <f t="shared" ref="R16:Z31" si="1">IF($P16&lt;=E$20,E$17,0)</f>
        <v>249.9</v>
      </c>
      <c r="S16" s="176">
        <f t="shared" si="1"/>
        <v>0</v>
      </c>
      <c r="T16" s="176">
        <f t="shared" si="1"/>
        <v>0</v>
      </c>
      <c r="U16" s="176">
        <f t="shared" si="1"/>
        <v>0</v>
      </c>
      <c r="V16" s="176">
        <f t="shared" si="1"/>
        <v>0</v>
      </c>
      <c r="W16" s="176">
        <f t="shared" si="1"/>
        <v>0</v>
      </c>
      <c r="X16" s="176">
        <f t="shared" si="1"/>
        <v>0</v>
      </c>
      <c r="Y16" s="176">
        <f t="shared" si="1"/>
        <v>0</v>
      </c>
      <c r="Z16" s="176">
        <f t="shared" si="1"/>
        <v>0</v>
      </c>
      <c r="AA16" s="176"/>
      <c r="AB16" s="190" t="s">
        <v>16</v>
      </c>
      <c r="AC16" s="191"/>
      <c r="AD16" s="192">
        <f ca="1">O13</f>
        <v>45179</v>
      </c>
      <c r="AE16" s="182"/>
      <c r="AF16" s="190" t="s">
        <v>16</v>
      </c>
      <c r="AG16" s="191"/>
      <c r="AH16" s="193">
        <f ca="1">EDATE(AD16,0)</f>
        <v>45179</v>
      </c>
      <c r="AI16" s="182"/>
      <c r="AJ16" s="179" t="s">
        <v>16</v>
      </c>
      <c r="AK16" s="180"/>
      <c r="AL16" s="193">
        <f ca="1">AH16</f>
        <v>45179</v>
      </c>
      <c r="AM16" s="176"/>
      <c r="AN16" s="176"/>
      <c r="AO16" s="176"/>
      <c r="AP16" s="176"/>
      <c r="AQ16" s="176"/>
      <c r="AR16" s="176"/>
      <c r="AS16" s="176"/>
      <c r="AT16" s="176"/>
      <c r="AU16" s="176"/>
      <c r="AV16" s="176"/>
      <c r="AW16" s="176"/>
      <c r="AX16" s="176"/>
      <c r="AY16" s="176"/>
      <c r="AZ16" s="176"/>
      <c r="BA16" s="176"/>
      <c r="BB16" s="176"/>
      <c r="BC16" s="176"/>
      <c r="BD16" s="176"/>
      <c r="BE16" s="161" t="s">
        <v>51</v>
      </c>
      <c r="BF16" s="171">
        <v>1.15E-2</v>
      </c>
      <c r="BG16" s="176"/>
      <c r="BH16" s="176"/>
      <c r="BI16" s="176"/>
      <c r="BJ16" s="176"/>
      <c r="BK16" s="176"/>
      <c r="BL16" s="186"/>
      <c r="BM16" s="176"/>
      <c r="BN16" s="176"/>
      <c r="BO16" s="176"/>
      <c r="BP16" s="187"/>
      <c r="BQ16" s="176"/>
      <c r="BR16" s="186"/>
      <c r="BS16" s="176"/>
      <c r="BT16" s="176"/>
      <c r="BU16" s="176"/>
      <c r="BV16" s="176"/>
      <c r="BW16" s="176"/>
      <c r="BX16" s="176"/>
      <c r="BY16" s="176"/>
      <c r="BZ16" s="176"/>
    </row>
    <row r="17" spans="2:78" s="19" customFormat="1" ht="21" customHeight="1" thickBot="1" x14ac:dyDescent="0.3">
      <c r="B17" s="299" t="s">
        <v>0</v>
      </c>
      <c r="C17" s="300"/>
      <c r="D17" s="64">
        <v>276.85000000000002</v>
      </c>
      <c r="E17" s="64">
        <v>249.9</v>
      </c>
      <c r="F17" s="64"/>
      <c r="G17" s="64"/>
      <c r="H17" s="64"/>
      <c r="I17" s="64"/>
      <c r="J17" s="64"/>
      <c r="K17" s="64"/>
      <c r="L17" s="64"/>
      <c r="M17" s="194"/>
      <c r="N17" s="195">
        <f>SUMIF(D19:M19,1,D17:M17)</f>
        <v>526.75</v>
      </c>
      <c r="O17" s="176"/>
      <c r="P17" s="176">
        <v>2</v>
      </c>
      <c r="Q17" s="176">
        <f t="shared" ref="Q17:Q80" si="2">IF($P17&lt;=D$20,D$17,0)</f>
        <v>276.85000000000002</v>
      </c>
      <c r="R17" s="176">
        <f t="shared" si="1"/>
        <v>249.9</v>
      </c>
      <c r="S17" s="176">
        <f t="shared" si="1"/>
        <v>0</v>
      </c>
      <c r="T17" s="176">
        <f t="shared" si="1"/>
        <v>0</v>
      </c>
      <c r="U17" s="176">
        <f t="shared" si="1"/>
        <v>0</v>
      </c>
      <c r="V17" s="176">
        <f t="shared" si="1"/>
        <v>0</v>
      </c>
      <c r="W17" s="176">
        <f t="shared" si="1"/>
        <v>0</v>
      </c>
      <c r="X17" s="176">
        <f t="shared" si="1"/>
        <v>0</v>
      </c>
      <c r="Y17" s="176">
        <f t="shared" si="1"/>
        <v>0</v>
      </c>
      <c r="Z17" s="176">
        <f t="shared" si="1"/>
        <v>0</v>
      </c>
      <c r="AA17" s="176"/>
      <c r="AB17" s="316" t="s">
        <v>7</v>
      </c>
      <c r="AC17" s="316"/>
      <c r="AD17" s="196">
        <f>N21</f>
        <v>19937.04</v>
      </c>
      <c r="AE17" s="182"/>
      <c r="AF17" s="316" t="s">
        <v>17</v>
      </c>
      <c r="AG17" s="316"/>
      <c r="AH17" s="197">
        <f ca="1">-AH23</f>
        <v>3463.3119735649288</v>
      </c>
      <c r="AI17" s="182"/>
      <c r="AJ17" s="316" t="s">
        <v>18</v>
      </c>
      <c r="AK17" s="316"/>
      <c r="AL17" s="197">
        <f ca="1">AD17+AH17</f>
        <v>23400.351973564932</v>
      </c>
      <c r="AM17" s="176"/>
      <c r="AN17" s="176"/>
      <c r="AO17" s="176"/>
      <c r="AP17" s="176"/>
      <c r="AQ17" s="176"/>
      <c r="AR17" s="176"/>
      <c r="AS17" s="176"/>
      <c r="AT17" s="176"/>
      <c r="AU17" s="176"/>
      <c r="AV17" s="176"/>
      <c r="AW17" s="176"/>
      <c r="AX17" s="176"/>
      <c r="AY17" s="176"/>
      <c r="AZ17" s="176"/>
      <c r="BA17" s="176"/>
      <c r="BB17" s="176"/>
      <c r="BC17" s="176"/>
      <c r="BD17" s="176"/>
      <c r="BE17" s="161" t="s">
        <v>36</v>
      </c>
      <c r="BF17" s="171">
        <v>1.5900000000000001E-2</v>
      </c>
      <c r="BG17" s="176"/>
      <c r="BH17" s="176"/>
      <c r="BI17" s="176"/>
      <c r="BJ17" s="176"/>
      <c r="BK17" s="176"/>
      <c r="BL17" s="186"/>
      <c r="BM17" s="176"/>
      <c r="BN17" s="176"/>
      <c r="BO17" s="176"/>
      <c r="BP17" s="187"/>
      <c r="BQ17" s="176"/>
      <c r="BR17" s="186"/>
      <c r="BS17" s="176"/>
      <c r="BT17" s="176"/>
      <c r="BU17" s="176"/>
      <c r="BV17" s="176"/>
      <c r="BW17" s="176"/>
      <c r="BX17" s="176"/>
      <c r="BY17" s="176"/>
      <c r="BZ17" s="176"/>
    </row>
    <row r="18" spans="2:78" ht="15.75" thickBot="1" x14ac:dyDescent="0.3">
      <c r="B18" s="310" t="s">
        <v>54</v>
      </c>
      <c r="C18" s="311"/>
      <c r="D18" s="81">
        <f>IF(OR(D15=0,D15="")," ",RATE(D16,D17,-D15,0))</f>
        <v>1.5362773049744217E-2</v>
      </c>
      <c r="E18" s="53">
        <f t="shared" ref="E18:M18" si="3">IF(E15=0," ",RATE(E16,E17,-E15,0))</f>
        <v>1.7944842806588829E-2</v>
      </c>
      <c r="F18" s="53" t="str">
        <f>IF(F15=0," ",RATE(F16,F17,-F15,0))</f>
        <v xml:space="preserve"> </v>
      </c>
      <c r="G18" s="53" t="str">
        <f t="shared" si="3"/>
        <v xml:space="preserve"> </v>
      </c>
      <c r="H18" s="53" t="str">
        <f t="shared" si="3"/>
        <v xml:space="preserve"> </v>
      </c>
      <c r="I18" s="54" t="str">
        <f t="shared" si="3"/>
        <v xml:space="preserve"> </v>
      </c>
      <c r="J18" s="54" t="str">
        <f t="shared" si="3"/>
        <v xml:space="preserve"> </v>
      </c>
      <c r="K18" s="54" t="str">
        <f t="shared" si="3"/>
        <v xml:space="preserve"> </v>
      </c>
      <c r="L18" s="54" t="str">
        <f t="shared" si="3"/>
        <v xml:space="preserve"> </v>
      </c>
      <c r="M18" s="54" t="str">
        <f t="shared" si="3"/>
        <v xml:space="preserve"> </v>
      </c>
      <c r="P18" s="161">
        <v>3</v>
      </c>
      <c r="Q18" s="161">
        <f t="shared" si="2"/>
        <v>276.85000000000002</v>
      </c>
      <c r="R18" s="161">
        <f t="shared" si="1"/>
        <v>249.9</v>
      </c>
      <c r="S18" s="161">
        <f t="shared" si="1"/>
        <v>0</v>
      </c>
      <c r="T18" s="161">
        <f t="shared" si="1"/>
        <v>0</v>
      </c>
      <c r="U18" s="161">
        <f t="shared" si="1"/>
        <v>0</v>
      </c>
      <c r="V18" s="161">
        <f t="shared" si="1"/>
        <v>0</v>
      </c>
      <c r="W18" s="161">
        <f t="shared" si="1"/>
        <v>0</v>
      </c>
      <c r="X18" s="161">
        <f t="shared" si="1"/>
        <v>0</v>
      </c>
      <c r="Y18" s="161">
        <f t="shared" si="1"/>
        <v>0</v>
      </c>
      <c r="Z18" s="161">
        <f t="shared" si="1"/>
        <v>0</v>
      </c>
      <c r="AB18" s="312" t="s">
        <v>19</v>
      </c>
      <c r="AC18" s="312"/>
      <c r="AD18" s="196">
        <f>N17</f>
        <v>526.75</v>
      </c>
      <c r="AE18" s="168"/>
      <c r="AF18" s="312" t="s">
        <v>20</v>
      </c>
      <c r="AG18" s="312"/>
      <c r="AH18" s="196">
        <f>N17+D24</f>
        <v>532.75</v>
      </c>
      <c r="AI18" s="168"/>
      <c r="AJ18" s="312" t="s">
        <v>19</v>
      </c>
      <c r="AK18" s="312"/>
      <c r="AL18" s="197">
        <f>AH18</f>
        <v>532.75</v>
      </c>
    </row>
    <row r="19" spans="2:78" ht="6.75" customHeight="1" x14ac:dyDescent="0.25">
      <c r="D19" s="125">
        <f>IF(D18&gt;(E23-0.03%),1,0)</f>
        <v>1</v>
      </c>
      <c r="E19" s="125">
        <f t="shared" ref="E19:M19" si="4">IF(E18&gt;F23,1,0)</f>
        <v>1</v>
      </c>
      <c r="F19" s="125">
        <f t="shared" si="4"/>
        <v>1</v>
      </c>
      <c r="G19" s="125">
        <f t="shared" si="4"/>
        <v>1</v>
      </c>
      <c r="H19" s="125">
        <f t="shared" si="4"/>
        <v>1</v>
      </c>
      <c r="I19" s="125">
        <f t="shared" si="4"/>
        <v>1</v>
      </c>
      <c r="J19" s="125">
        <f t="shared" si="4"/>
        <v>1</v>
      </c>
      <c r="K19" s="125">
        <f t="shared" si="4"/>
        <v>1</v>
      </c>
      <c r="L19" s="125">
        <f t="shared" si="4"/>
        <v>1</v>
      </c>
      <c r="M19" s="125">
        <f t="shared" si="4"/>
        <v>1</v>
      </c>
      <c r="P19" s="161">
        <v>4</v>
      </c>
      <c r="Q19" s="161">
        <f t="shared" si="2"/>
        <v>276.85000000000002</v>
      </c>
      <c r="R19" s="161">
        <f t="shared" si="1"/>
        <v>249.9</v>
      </c>
      <c r="S19" s="161">
        <f t="shared" si="1"/>
        <v>0</v>
      </c>
      <c r="T19" s="161">
        <f t="shared" si="1"/>
        <v>0</v>
      </c>
      <c r="U19" s="161">
        <f t="shared" si="1"/>
        <v>0</v>
      </c>
      <c r="V19" s="161">
        <f t="shared" si="1"/>
        <v>0</v>
      </c>
      <c r="W19" s="161">
        <f t="shared" si="1"/>
        <v>0</v>
      </c>
      <c r="X19" s="161">
        <f t="shared" si="1"/>
        <v>0</v>
      </c>
      <c r="Y19" s="161">
        <f t="shared" si="1"/>
        <v>0</v>
      </c>
      <c r="Z19" s="161">
        <f t="shared" si="1"/>
        <v>0</v>
      </c>
      <c r="AB19" s="312" t="s">
        <v>21</v>
      </c>
      <c r="AC19" s="312"/>
      <c r="AD19" s="198">
        <f>D20</f>
        <v>60</v>
      </c>
      <c r="AE19" s="168"/>
      <c r="AF19" s="312" t="s">
        <v>21</v>
      </c>
      <c r="AG19" s="312"/>
      <c r="AH19" s="199">
        <f>AL19-AD19</f>
        <v>24</v>
      </c>
      <c r="AI19" s="168"/>
      <c r="AJ19" s="312" t="s">
        <v>21</v>
      </c>
      <c r="AK19" s="312"/>
      <c r="AL19" s="200">
        <f>_xlfn.NUMBERVALUE(VLOOKUP(E8,$BE$23:$BH$600,4,FALSE))</f>
        <v>84</v>
      </c>
    </row>
    <row r="20" spans="2:78" ht="16.5" thickBot="1" x14ac:dyDescent="0.3">
      <c r="B20" s="299" t="s">
        <v>66</v>
      </c>
      <c r="C20" s="300"/>
      <c r="D20" s="46">
        <v>60</v>
      </c>
      <c r="E20" s="46">
        <v>60</v>
      </c>
      <c r="F20" s="46"/>
      <c r="G20" s="46"/>
      <c r="H20" s="46"/>
      <c r="I20" s="46"/>
      <c r="J20" s="46"/>
      <c r="K20" s="46"/>
      <c r="L20" s="46"/>
      <c r="M20" s="201"/>
      <c r="P20" s="161">
        <v>5</v>
      </c>
      <c r="Q20" s="161">
        <f t="shared" si="2"/>
        <v>276.85000000000002</v>
      </c>
      <c r="R20" s="161">
        <f t="shared" si="1"/>
        <v>249.9</v>
      </c>
      <c r="S20" s="161">
        <f t="shared" si="1"/>
        <v>0</v>
      </c>
      <c r="T20" s="161">
        <f t="shared" si="1"/>
        <v>0</v>
      </c>
      <c r="U20" s="161">
        <f t="shared" si="1"/>
        <v>0</v>
      </c>
      <c r="V20" s="161">
        <f t="shared" si="1"/>
        <v>0</v>
      </c>
      <c r="W20" s="161">
        <f t="shared" si="1"/>
        <v>0</v>
      </c>
      <c r="X20" s="161">
        <f t="shared" si="1"/>
        <v>0</v>
      </c>
      <c r="Y20" s="161">
        <f t="shared" si="1"/>
        <v>0</v>
      </c>
      <c r="Z20" s="161">
        <f t="shared" si="1"/>
        <v>0</v>
      </c>
      <c r="AB20" s="312" t="s">
        <v>22</v>
      </c>
      <c r="AC20" s="312"/>
      <c r="AD20" s="202">
        <f ca="1">AD169</f>
        <v>1.6761221989093134E-2</v>
      </c>
      <c r="AE20" s="168"/>
      <c r="AF20" s="312" t="s">
        <v>23</v>
      </c>
      <c r="AG20" s="312"/>
      <c r="AH20" s="203">
        <f>VLOOKUP(E8,$BE$23:$BQ$600,13,FALSE)</f>
        <v>1.9099999999999999E-2</v>
      </c>
      <c r="AI20" s="168"/>
      <c r="AJ20" s="312" t="s">
        <v>24</v>
      </c>
      <c r="AK20" s="312"/>
      <c r="AL20" s="204">
        <f ca="1">AL169</f>
        <v>1.7550130915888085E-2</v>
      </c>
    </row>
    <row r="21" spans="2:78" ht="15.75" thickBot="1" x14ac:dyDescent="0.3">
      <c r="B21" s="310" t="s">
        <v>71</v>
      </c>
      <c r="C21" s="311"/>
      <c r="D21" s="91">
        <f>IFERROR(IF(D20=0," ",IF(D18&gt;$T$13,D182,ROUNDDOWN(D17/(((D18+1)^D20*D18)/((D18+1)^D20-1)),2))),0)</f>
        <v>10801.44</v>
      </c>
      <c r="E21" s="91">
        <f>IFERROR(IF(E20=0," ",IF(E18&gt;$T$13,E182,ROUNDDOWN(E17/(((E18+1)^E20*E18)/((E18+1)^E20-1)),2))),0)</f>
        <v>9135.6</v>
      </c>
      <c r="F21" s="91" t="str">
        <f t="shared" ref="F21:M21" si="5">IFERROR(IF(F20=0," ",IF(F18&gt;$T$13,F182,ROUNDDOWN(F17/(((F18+1)^F20*F18)/((F18+1)^F20-1)),2))),0)</f>
        <v xml:space="preserve"> </v>
      </c>
      <c r="G21" s="91" t="str">
        <f t="shared" si="5"/>
        <v xml:space="preserve"> </v>
      </c>
      <c r="H21" s="91" t="str">
        <f t="shared" si="5"/>
        <v xml:space="preserve"> </v>
      </c>
      <c r="I21" s="91" t="str">
        <f t="shared" si="5"/>
        <v xml:space="preserve"> </v>
      </c>
      <c r="J21" s="91" t="str">
        <f t="shared" si="5"/>
        <v xml:space="preserve"> </v>
      </c>
      <c r="K21" s="91" t="str">
        <f t="shared" si="5"/>
        <v xml:space="preserve"> </v>
      </c>
      <c r="L21" s="91" t="str">
        <f t="shared" si="5"/>
        <v xml:space="preserve"> </v>
      </c>
      <c r="M21" s="91" t="str">
        <f t="shared" si="5"/>
        <v xml:space="preserve"> </v>
      </c>
      <c r="N21" s="205">
        <f>SUMIF(D19:M19,1,D21:M21)</f>
        <v>19937.04</v>
      </c>
      <c r="P21" s="161">
        <v>6</v>
      </c>
      <c r="Q21" s="161">
        <f t="shared" si="2"/>
        <v>276.85000000000002</v>
      </c>
      <c r="R21" s="161">
        <f t="shared" si="1"/>
        <v>249.9</v>
      </c>
      <c r="S21" s="161">
        <f t="shared" si="1"/>
        <v>0</v>
      </c>
      <c r="T21" s="161">
        <f t="shared" si="1"/>
        <v>0</v>
      </c>
      <c r="U21" s="161">
        <f t="shared" si="1"/>
        <v>0</v>
      </c>
      <c r="V21" s="161">
        <f t="shared" si="1"/>
        <v>0</v>
      </c>
      <c r="W21" s="161">
        <f t="shared" si="1"/>
        <v>0</v>
      </c>
      <c r="X21" s="161">
        <f t="shared" si="1"/>
        <v>0</v>
      </c>
      <c r="Y21" s="161">
        <f t="shared" si="1"/>
        <v>0</v>
      </c>
      <c r="Z21" s="161">
        <f t="shared" si="1"/>
        <v>0</v>
      </c>
      <c r="AB21" s="168"/>
      <c r="AC21" s="168"/>
      <c r="AD21" s="168"/>
      <c r="AE21" s="168"/>
      <c r="AF21" s="168"/>
      <c r="AG21" s="168"/>
      <c r="AH21" s="168"/>
      <c r="AI21" s="168"/>
      <c r="AJ21" s="168"/>
      <c r="AK21" s="168"/>
      <c r="AL21" s="168"/>
    </row>
    <row r="22" spans="2:78" ht="11.25" customHeight="1" thickBot="1" x14ac:dyDescent="0.3">
      <c r="P22" s="161">
        <v>7</v>
      </c>
      <c r="Q22" s="161">
        <f t="shared" si="2"/>
        <v>276.85000000000002</v>
      </c>
      <c r="R22" s="161">
        <f t="shared" si="1"/>
        <v>249.9</v>
      </c>
      <c r="S22" s="161">
        <f t="shared" si="1"/>
        <v>0</v>
      </c>
      <c r="T22" s="161">
        <f t="shared" si="1"/>
        <v>0</v>
      </c>
      <c r="U22" s="161">
        <f t="shared" si="1"/>
        <v>0</v>
      </c>
      <c r="V22" s="161">
        <f t="shared" si="1"/>
        <v>0</v>
      </c>
      <c r="W22" s="161">
        <f t="shared" si="1"/>
        <v>0</v>
      </c>
      <c r="X22" s="161">
        <f t="shared" si="1"/>
        <v>0</v>
      </c>
      <c r="Y22" s="161">
        <f t="shared" si="1"/>
        <v>0</v>
      </c>
      <c r="Z22" s="161">
        <f t="shared" si="1"/>
        <v>0</v>
      </c>
      <c r="AB22" s="168"/>
      <c r="AC22" s="168"/>
      <c r="AD22" s="168"/>
      <c r="AE22" s="168"/>
      <c r="AF22" s="168"/>
      <c r="AG22" s="168"/>
      <c r="AH22" s="168"/>
      <c r="AI22" s="168"/>
      <c r="AJ22" s="168"/>
      <c r="AK22" s="168"/>
      <c r="AL22" s="168"/>
    </row>
    <row r="23" spans="2:78" s="19" customFormat="1" ht="24" customHeight="1" thickBot="1" x14ac:dyDescent="0.25">
      <c r="B23" s="313" t="s">
        <v>72</v>
      </c>
      <c r="C23" s="314"/>
      <c r="D23" s="71">
        <f>N17+D24</f>
        <v>532.75</v>
      </c>
      <c r="E23" s="119">
        <f>VLOOKUP(E8,$BE$23:$BR$621,11,FALSE)</f>
        <v>1.15E-2</v>
      </c>
      <c r="F23" s="62"/>
      <c r="G23" s="62"/>
      <c r="H23" s="62"/>
      <c r="I23" s="62"/>
      <c r="J23" s="62"/>
      <c r="K23" s="62"/>
      <c r="L23" s="62"/>
      <c r="M23" s="195"/>
      <c r="N23" s="195"/>
      <c r="O23" s="176"/>
      <c r="P23" s="176">
        <v>8</v>
      </c>
      <c r="Q23" s="176">
        <f t="shared" si="2"/>
        <v>276.85000000000002</v>
      </c>
      <c r="R23" s="176">
        <f t="shared" si="1"/>
        <v>249.9</v>
      </c>
      <c r="S23" s="176">
        <f t="shared" si="1"/>
        <v>0</v>
      </c>
      <c r="T23" s="176">
        <f t="shared" si="1"/>
        <v>0</v>
      </c>
      <c r="U23" s="176">
        <f t="shared" si="1"/>
        <v>0</v>
      </c>
      <c r="V23" s="176">
        <f t="shared" si="1"/>
        <v>0</v>
      </c>
      <c r="W23" s="176">
        <f t="shared" si="1"/>
        <v>0</v>
      </c>
      <c r="X23" s="176">
        <f t="shared" si="1"/>
        <v>0</v>
      </c>
      <c r="Y23" s="176">
        <f t="shared" si="1"/>
        <v>0</v>
      </c>
      <c r="Z23" s="176">
        <f t="shared" si="1"/>
        <v>0</v>
      </c>
      <c r="AA23" s="176"/>
      <c r="AB23" s="182">
        <v>0</v>
      </c>
      <c r="AC23" s="206">
        <f ca="1">AD15</f>
        <v>45169</v>
      </c>
      <c r="AD23" s="207">
        <f>-AD17</f>
        <v>-19937.04</v>
      </c>
      <c r="AE23" s="182"/>
      <c r="AF23" s="182">
        <v>0</v>
      </c>
      <c r="AG23" s="206">
        <f ca="1">AH15</f>
        <v>45169</v>
      </c>
      <c r="AH23" s="207">
        <f ca="1">-SUM(AI24:AI167)</f>
        <v>-3463.3119735649288</v>
      </c>
      <c r="AI23" s="182"/>
      <c r="AJ23" s="182">
        <v>0</v>
      </c>
      <c r="AK23" s="206">
        <f ca="1">AL15</f>
        <v>45169</v>
      </c>
      <c r="AL23" s="207">
        <f ca="1">-AL17</f>
        <v>-23400.351973564932</v>
      </c>
      <c r="AM23" s="176"/>
      <c r="AN23" s="168">
        <v>0</v>
      </c>
      <c r="AO23" s="189">
        <f ca="1">AK23</f>
        <v>45169</v>
      </c>
      <c r="AP23" s="176"/>
      <c r="AQ23" s="176"/>
      <c r="AR23" s="176"/>
      <c r="AS23" s="176"/>
      <c r="AT23" s="176"/>
      <c r="AU23" s="176"/>
      <c r="AV23" s="176"/>
      <c r="AW23" s="176"/>
      <c r="AX23" s="176"/>
      <c r="AY23" s="176"/>
      <c r="AZ23" s="176"/>
      <c r="BA23" s="176"/>
      <c r="BB23" s="176"/>
      <c r="BC23" s="176"/>
      <c r="BD23" s="176" t="s">
        <v>80</v>
      </c>
      <c r="BE23" s="63" t="str">
        <f>Consulta1[[#Headers],[EMPREGADOR]]</f>
        <v>EMPREGADOR</v>
      </c>
      <c r="BF23" s="63" t="str">
        <f>Consulta1[[#Headers],[TABELA]]</f>
        <v>TABELA</v>
      </c>
      <c r="BG23" s="63" t="str">
        <f>Consulta1[[#Headers],[TAXA]]</f>
        <v>TAXA</v>
      </c>
      <c r="BH23" s="63" t="str">
        <f>Consulta1[[#Headers],[PRAZO]]</f>
        <v>PRAZO</v>
      </c>
      <c r="BI23" s="63" t="str">
        <f>Consulta1[[#Headers],[FATOR]]</f>
        <v>FATOR</v>
      </c>
      <c r="BJ23" s="63" t="str">
        <f>Consulta1[[#Headers],[TETO_COMERCIAL]]</f>
        <v>TETO_COMERCIAL</v>
      </c>
      <c r="BK23" s="63" t="str">
        <f>Consulta1[[#Headers],[VCTO]]</f>
        <v>VCTO</v>
      </c>
      <c r="BL23" s="63" t="str">
        <f>Consulta1[[#Headers],[CARENCIA_FINAL]]</f>
        <v>CARENCIA_FINAL</v>
      </c>
      <c r="BM23" s="63" t="str">
        <f>Consulta1[[#Headers],[PMDESCRPRD]]</f>
        <v>PMDESCRPRD</v>
      </c>
      <c r="BN23" s="63" t="str">
        <f>Consulta1[[#Headers],[min_port]]</f>
        <v>min_port</v>
      </c>
      <c r="BO23" s="63" t="str">
        <f>Consulta1[[#Headers],[minport_%]]</f>
        <v>minport_%</v>
      </c>
      <c r="BP23" s="63" t="s">
        <v>48</v>
      </c>
      <c r="BQ23" s="63" t="s">
        <v>61</v>
      </c>
      <c r="BR23" s="186" t="s">
        <v>77</v>
      </c>
      <c r="BS23" s="176"/>
      <c r="BT23" s="176"/>
      <c r="BU23" s="176"/>
      <c r="BV23" s="176"/>
      <c r="BW23" s="176"/>
      <c r="BX23" s="176"/>
      <c r="BY23" s="176"/>
      <c r="BZ23" s="176"/>
    </row>
    <row r="24" spans="2:78" s="19" customFormat="1" ht="25.5" customHeight="1" thickBot="1" x14ac:dyDescent="0.3">
      <c r="B24" s="301" t="s">
        <v>69</v>
      </c>
      <c r="C24" s="302"/>
      <c r="D24" s="72">
        <v>6</v>
      </c>
      <c r="E24" s="62"/>
      <c r="F24" s="62"/>
      <c r="G24" s="62"/>
      <c r="H24" s="62"/>
      <c r="I24" s="62"/>
      <c r="J24" s="62"/>
      <c r="K24" s="62"/>
      <c r="L24" s="94"/>
      <c r="M24" s="195"/>
      <c r="N24" s="195"/>
      <c r="O24" s="176"/>
      <c r="P24" s="176">
        <v>9</v>
      </c>
      <c r="Q24" s="176">
        <f t="shared" si="2"/>
        <v>276.85000000000002</v>
      </c>
      <c r="R24" s="176">
        <f t="shared" si="1"/>
        <v>249.9</v>
      </c>
      <c r="S24" s="176">
        <f t="shared" si="1"/>
        <v>0</v>
      </c>
      <c r="T24" s="176">
        <f t="shared" si="1"/>
        <v>0</v>
      </c>
      <c r="U24" s="176">
        <f t="shared" si="1"/>
        <v>0</v>
      </c>
      <c r="V24" s="176">
        <f t="shared" si="1"/>
        <v>0</v>
      </c>
      <c r="W24" s="176">
        <f t="shared" si="1"/>
        <v>0</v>
      </c>
      <c r="X24" s="176">
        <f t="shared" si="1"/>
        <v>0</v>
      </c>
      <c r="Y24" s="176">
        <f t="shared" si="1"/>
        <v>0</v>
      </c>
      <c r="Z24" s="176">
        <f t="shared" si="1"/>
        <v>0</v>
      </c>
      <c r="AA24" s="176"/>
      <c r="AB24" s="182">
        <v>1</v>
      </c>
      <c r="AC24" s="206">
        <f ca="1">AD16</f>
        <v>45179</v>
      </c>
      <c r="AD24" s="208">
        <f t="shared" ref="AD24:AD55" si="6">SUM(Q16:Z16)</f>
        <v>526.75</v>
      </c>
      <c r="AE24" s="182"/>
      <c r="AF24" s="182">
        <v>1</v>
      </c>
      <c r="AG24" s="206">
        <f ca="1">AH16</f>
        <v>45179</v>
      </c>
      <c r="AH24" s="208">
        <f>IF(AF24&gt;$AL$19,0,AL24-AD24)</f>
        <v>6</v>
      </c>
      <c r="AI24" s="178">
        <f t="shared" ref="AI24:AI55" ca="1" si="7">AH24/(1+$AH$20)^((AG24-$AG$23)/30)</f>
        <v>5.9622793005338472</v>
      </c>
      <c r="AJ24" s="182">
        <v>1</v>
      </c>
      <c r="AK24" s="206">
        <f ca="1">AL16</f>
        <v>45179</v>
      </c>
      <c r="AL24" s="208">
        <f>IF(AJ24&gt;$AL$19,0,$AL$18)</f>
        <v>532.75</v>
      </c>
      <c r="AM24" s="176"/>
      <c r="AN24" s="168">
        <v>1</v>
      </c>
      <c r="AO24" s="189">
        <f t="shared" ref="AO24:AO87" ca="1" si="8">AK24</f>
        <v>45179</v>
      </c>
      <c r="AP24" s="176"/>
      <c r="AQ24" s="176"/>
      <c r="AR24" s="176"/>
      <c r="AS24" s="176"/>
      <c r="AT24" s="176"/>
      <c r="AU24" s="176"/>
      <c r="AV24" s="176"/>
      <c r="AW24" s="176"/>
      <c r="AX24" s="176"/>
      <c r="AY24" s="176"/>
      <c r="AZ24" s="176"/>
      <c r="BA24" s="176"/>
      <c r="BB24" s="176"/>
      <c r="BC24" s="186" t="str">
        <f t="shared" ref="BC24:BC55" si="9">CONCATENATE(BD24,BE24)</f>
        <v>1AERONAUTICA</v>
      </c>
      <c r="BD24" s="186">
        <f t="shared" ref="BD24:BD55" si="10">IF(BE24=BE23,BD23+1,1)</f>
        <v>1</v>
      </c>
      <c r="BE24" s="209" t="str">
        <f>'SIMULADOR COM SALDO'!BF23</f>
        <v>AERONAUTICA</v>
      </c>
      <c r="BF24" s="209" t="str">
        <f>'SIMULADOR COM SALDO'!BG23</f>
        <v>795721 - Tabela 1</v>
      </c>
      <c r="BG24" s="209">
        <f>'SIMULADOR COM SALDO'!BH23</f>
        <v>1.9E-2</v>
      </c>
      <c r="BH24" s="209">
        <f>'SIMULADOR COM SALDO'!BI23</f>
        <v>96</v>
      </c>
      <c r="BI24" s="209" t="str">
        <f>'SIMULADOR COM SALDO'!BJ23</f>
        <v/>
      </c>
      <c r="BJ24" s="209">
        <f>'SIMULADOR COM SALDO'!BK23</f>
        <v>2.1</v>
      </c>
      <c r="BK24" s="209">
        <f>'SIMULADOR COM SALDO'!BL23</f>
        <v>10</v>
      </c>
      <c r="BL24" s="209">
        <f>'SIMULADOR COM SALDO'!BM23</f>
        <v>50</v>
      </c>
      <c r="BM24" s="209" t="str">
        <f>'SIMULADOR COM SALDO'!BN23</f>
        <v>RFN-AERONAUTICA 1 DIG PORTAB</v>
      </c>
      <c r="BN24" s="209" t="str">
        <f>'SIMULADOR COM SALDO'!BO23</f>
        <v>1,3</v>
      </c>
      <c r="BO24" s="209">
        <f>'SIMULADOR COM SALDO'!BP23</f>
        <v>1.3000000000000001E-2</v>
      </c>
      <c r="BP24" s="209">
        <f>'SIMULADOR COM SALDO'!BQ23</f>
        <v>2.3713243635123765E-2</v>
      </c>
      <c r="BQ24" s="209">
        <f>'SIMULADOR COM SALDO'!BR23</f>
        <v>2.1000000000000001E-2</v>
      </c>
      <c r="BR24" s="209">
        <f>'SIMULADOR COM SALDO'!BS23</f>
        <v>2.9999999999999997E-4</v>
      </c>
      <c r="BS24" s="176"/>
      <c r="BT24" s="176"/>
      <c r="BU24" s="176"/>
      <c r="BV24" s="176"/>
      <c r="BW24" s="176"/>
      <c r="BX24" s="176"/>
      <c r="BY24" s="176"/>
      <c r="BZ24" s="176"/>
    </row>
    <row r="25" spans="2:78" s="19" customFormat="1" ht="25.5" customHeight="1" thickBot="1" x14ac:dyDescent="0.3">
      <c r="B25" s="301" t="s">
        <v>30</v>
      </c>
      <c r="C25" s="302"/>
      <c r="D25" s="98">
        <f ca="1">$AL$20</f>
        <v>1.7550130915888085E-2</v>
      </c>
      <c r="E25" s="62"/>
      <c r="F25" s="62"/>
      <c r="G25" s="62"/>
      <c r="H25" s="62"/>
      <c r="I25" s="62"/>
      <c r="J25" s="62"/>
      <c r="K25" s="62"/>
      <c r="L25" s="94"/>
      <c r="M25" s="195"/>
      <c r="N25" s="195"/>
      <c r="O25" s="176"/>
      <c r="P25" s="176">
        <v>10</v>
      </c>
      <c r="Q25" s="176">
        <f t="shared" si="2"/>
        <v>276.85000000000002</v>
      </c>
      <c r="R25" s="176">
        <f t="shared" si="1"/>
        <v>249.9</v>
      </c>
      <c r="S25" s="176">
        <f t="shared" si="1"/>
        <v>0</v>
      </c>
      <c r="T25" s="176">
        <f t="shared" si="1"/>
        <v>0</v>
      </c>
      <c r="U25" s="176">
        <f t="shared" si="1"/>
        <v>0</v>
      </c>
      <c r="V25" s="176">
        <f t="shared" si="1"/>
        <v>0</v>
      </c>
      <c r="W25" s="176">
        <f t="shared" si="1"/>
        <v>0</v>
      </c>
      <c r="X25" s="176">
        <f t="shared" si="1"/>
        <v>0</v>
      </c>
      <c r="Y25" s="176">
        <f t="shared" si="1"/>
        <v>0</v>
      </c>
      <c r="Z25" s="176">
        <f t="shared" si="1"/>
        <v>0</v>
      </c>
      <c r="AA25" s="176"/>
      <c r="AB25" s="182">
        <v>2</v>
      </c>
      <c r="AC25" s="206">
        <f t="shared" ref="AC25:AC56" ca="1" si="11">EDATE(AC24,1)</f>
        <v>45209</v>
      </c>
      <c r="AD25" s="208">
        <f t="shared" si="6"/>
        <v>526.75</v>
      </c>
      <c r="AE25" s="182"/>
      <c r="AF25" s="182">
        <v>2</v>
      </c>
      <c r="AG25" s="206">
        <f t="shared" ref="AG25:AG56" ca="1" si="12">EDATE(AG24,1)</f>
        <v>45209</v>
      </c>
      <c r="AH25" s="208">
        <f t="shared" ref="AH25:AH88" si="13">IF(AF25&gt;$AL$19,0,AL25-AD25)</f>
        <v>6</v>
      </c>
      <c r="AI25" s="178">
        <f t="shared" ca="1" si="7"/>
        <v>5.8505340992383958</v>
      </c>
      <c r="AJ25" s="182">
        <v>2</v>
      </c>
      <c r="AK25" s="206">
        <f t="shared" ref="AK25:AK56" ca="1" si="14">EDATE(AK24,1)</f>
        <v>45209</v>
      </c>
      <c r="AL25" s="208">
        <f t="shared" ref="AL25:AL88" si="15">IF(AJ25&gt;$AL$19,0,$AL$18)</f>
        <v>532.75</v>
      </c>
      <c r="AM25" s="176"/>
      <c r="AN25" s="168">
        <v>2</v>
      </c>
      <c r="AO25" s="189">
        <f t="shared" ca="1" si="8"/>
        <v>45209</v>
      </c>
      <c r="AP25" s="176"/>
      <c r="AQ25" s="176"/>
      <c r="AR25" s="176"/>
      <c r="AS25" s="176"/>
      <c r="AT25" s="176"/>
      <c r="AU25" s="176"/>
      <c r="AV25" s="176"/>
      <c r="AW25" s="176"/>
      <c r="AX25" s="176"/>
      <c r="AY25" s="176"/>
      <c r="AZ25" s="176"/>
      <c r="BA25" s="176"/>
      <c r="BB25" s="176"/>
      <c r="BC25" s="186" t="str">
        <f t="shared" si="9"/>
        <v>2AERONAUTICA</v>
      </c>
      <c r="BD25" s="186">
        <f t="shared" si="10"/>
        <v>2</v>
      </c>
      <c r="BE25" s="209" t="str">
        <f>'SIMULADOR COM SALDO'!BF24</f>
        <v>AERONAUTICA</v>
      </c>
      <c r="BF25" s="209" t="str">
        <f>'SIMULADOR COM SALDO'!BG24</f>
        <v>795722 - Tabela 2</v>
      </c>
      <c r="BG25" s="209">
        <f>'SIMULADOR COM SALDO'!BH24</f>
        <v>1.8000000000000002E-2</v>
      </c>
      <c r="BH25" s="209">
        <f>'SIMULADOR COM SALDO'!BI24</f>
        <v>96</v>
      </c>
      <c r="BI25" s="209" t="str">
        <f>'SIMULADOR COM SALDO'!BJ24</f>
        <v/>
      </c>
      <c r="BJ25" s="209">
        <f>'SIMULADOR COM SALDO'!BK24</f>
        <v>2.1</v>
      </c>
      <c r="BK25" s="209">
        <f>'SIMULADOR COM SALDO'!BL24</f>
        <v>10</v>
      </c>
      <c r="BL25" s="209">
        <f>'SIMULADOR COM SALDO'!BM24</f>
        <v>50</v>
      </c>
      <c r="BM25" s="209" t="str">
        <f>'SIMULADOR COM SALDO'!BN24</f>
        <v>RFN-AERONAUTICA 2 DIG PORTAB</v>
      </c>
      <c r="BN25" s="209" t="str">
        <f>'SIMULADOR COM SALDO'!BO24</f>
        <v>1,3</v>
      </c>
      <c r="BO25" s="209">
        <f>'SIMULADOR COM SALDO'!BP24</f>
        <v>1.3000000000000001E-2</v>
      </c>
      <c r="BP25" s="209">
        <f>'SIMULADOR COM SALDO'!BQ24</f>
        <v>2.2894940972034403E-2</v>
      </c>
      <c r="BQ25" s="209">
        <f>'SIMULADOR COM SALDO'!BR24</f>
        <v>2.1000000000000001E-2</v>
      </c>
      <c r="BR25" s="209">
        <f>'SIMULADOR COM SALDO'!BS24</f>
        <v>2.9999999999999997E-4</v>
      </c>
      <c r="BS25" s="176"/>
      <c r="BT25" s="176"/>
      <c r="BU25" s="176"/>
      <c r="BV25" s="176"/>
      <c r="BW25" s="176"/>
      <c r="BX25" s="176"/>
      <c r="BY25" s="176"/>
      <c r="BZ25" s="176"/>
    </row>
    <row r="26" spans="2:78" s="19" customFormat="1" ht="18" customHeight="1" thickBot="1" x14ac:dyDescent="0.3">
      <c r="D26" s="39" t="s">
        <v>38</v>
      </c>
      <c r="E26" s="137" t="s">
        <v>3</v>
      </c>
      <c r="F26" s="68" t="s">
        <v>39</v>
      </c>
      <c r="G26" s="68" t="s">
        <v>5</v>
      </c>
      <c r="H26" s="68" t="s">
        <v>4</v>
      </c>
      <c r="I26" s="68" t="s">
        <v>1</v>
      </c>
      <c r="J26" s="68" t="s">
        <v>6</v>
      </c>
      <c r="K26" s="138" t="s">
        <v>28</v>
      </c>
      <c r="L26" s="96" t="s">
        <v>29</v>
      </c>
      <c r="M26" s="210"/>
      <c r="N26" s="211"/>
      <c r="O26" s="211" t="s">
        <v>25</v>
      </c>
      <c r="P26" s="176">
        <v>11</v>
      </c>
      <c r="Q26" s="176">
        <f t="shared" si="2"/>
        <v>276.85000000000002</v>
      </c>
      <c r="R26" s="176">
        <f t="shared" si="1"/>
        <v>249.9</v>
      </c>
      <c r="S26" s="176">
        <f t="shared" si="1"/>
        <v>0</v>
      </c>
      <c r="T26" s="176">
        <f t="shared" si="1"/>
        <v>0</v>
      </c>
      <c r="U26" s="176">
        <f t="shared" si="1"/>
        <v>0</v>
      </c>
      <c r="V26" s="176">
        <f t="shared" si="1"/>
        <v>0</v>
      </c>
      <c r="W26" s="176">
        <f t="shared" si="1"/>
        <v>0</v>
      </c>
      <c r="X26" s="176">
        <f t="shared" si="1"/>
        <v>0</v>
      </c>
      <c r="Y26" s="176">
        <f t="shared" si="1"/>
        <v>0</v>
      </c>
      <c r="Z26" s="176">
        <f t="shared" si="1"/>
        <v>0</v>
      </c>
      <c r="AA26" s="176"/>
      <c r="AB26" s="182">
        <v>3</v>
      </c>
      <c r="AC26" s="206">
        <f t="shared" ca="1" si="11"/>
        <v>45240</v>
      </c>
      <c r="AD26" s="208">
        <f t="shared" si="6"/>
        <v>526.75</v>
      </c>
      <c r="AE26" s="182"/>
      <c r="AF26" s="182">
        <v>3</v>
      </c>
      <c r="AG26" s="206">
        <f t="shared" ca="1" si="12"/>
        <v>45240</v>
      </c>
      <c r="AH26" s="208">
        <f t="shared" si="13"/>
        <v>6</v>
      </c>
      <c r="AI26" s="178">
        <f t="shared" ca="1" si="7"/>
        <v>5.7372638093356141</v>
      </c>
      <c r="AJ26" s="182">
        <v>3</v>
      </c>
      <c r="AK26" s="206">
        <f t="shared" ca="1" si="14"/>
        <v>45240</v>
      </c>
      <c r="AL26" s="208">
        <f t="shared" si="15"/>
        <v>532.75</v>
      </c>
      <c r="AM26" s="176"/>
      <c r="AN26" s="182">
        <v>3</v>
      </c>
      <c r="AO26" s="189">
        <f t="shared" ca="1" si="8"/>
        <v>45240</v>
      </c>
      <c r="AP26" s="176"/>
      <c r="AQ26" s="176"/>
      <c r="AR26" s="176"/>
      <c r="AS26" s="176"/>
      <c r="AT26" s="176"/>
      <c r="AU26" s="176"/>
      <c r="AV26" s="176"/>
      <c r="AW26" s="176"/>
      <c r="AX26" s="176"/>
      <c r="AY26" s="176"/>
      <c r="AZ26" s="176"/>
      <c r="BA26" s="176"/>
      <c r="BB26" s="176"/>
      <c r="BC26" s="186" t="str">
        <f t="shared" si="9"/>
        <v>3AERONAUTICA</v>
      </c>
      <c r="BD26" s="186">
        <f t="shared" si="10"/>
        <v>3</v>
      </c>
      <c r="BE26" s="209" t="str">
        <f>'SIMULADOR COM SALDO'!BF25</f>
        <v>AERONAUTICA</v>
      </c>
      <c r="BF26" s="209" t="str">
        <f>'SIMULADOR COM SALDO'!BG25</f>
        <v>795723 - Tabela 3</v>
      </c>
      <c r="BG26" s="209">
        <f>'SIMULADOR COM SALDO'!BH25</f>
        <v>1.7000000000000001E-2</v>
      </c>
      <c r="BH26" s="209">
        <f>'SIMULADOR COM SALDO'!BI25</f>
        <v>96</v>
      </c>
      <c r="BI26" s="209" t="str">
        <f>'SIMULADOR COM SALDO'!BJ25</f>
        <v/>
      </c>
      <c r="BJ26" s="209">
        <f>'SIMULADOR COM SALDO'!BK25</f>
        <v>2.1</v>
      </c>
      <c r="BK26" s="209">
        <f>'SIMULADOR COM SALDO'!BL25</f>
        <v>10</v>
      </c>
      <c r="BL26" s="209">
        <f>'SIMULADOR COM SALDO'!BM25</f>
        <v>49</v>
      </c>
      <c r="BM26" s="209" t="str">
        <f>'SIMULADOR COM SALDO'!BN25</f>
        <v>RFN-AERONAUTICA 3 DIG PORTAB</v>
      </c>
      <c r="BN26" s="209" t="str">
        <f>'SIMULADOR COM SALDO'!BO25</f>
        <v>1,3</v>
      </c>
      <c r="BO26" s="209">
        <f>'SIMULADOR COM SALDO'!BP25</f>
        <v>1.3000000000000001E-2</v>
      </c>
      <c r="BP26" s="209">
        <f>'SIMULADOR COM SALDO'!BQ25</f>
        <v>2.207747253474307E-2</v>
      </c>
      <c r="BQ26" s="209">
        <f>'SIMULADOR COM SALDO'!BR25</f>
        <v>2.1000000000000001E-2</v>
      </c>
      <c r="BR26" s="209">
        <f>'SIMULADOR COM SALDO'!BS25</f>
        <v>2.9999999999999997E-4</v>
      </c>
      <c r="BS26" s="176"/>
      <c r="BT26" s="176"/>
      <c r="BU26" s="176"/>
      <c r="BV26" s="176"/>
      <c r="BW26" s="176"/>
      <c r="BX26" s="176"/>
      <c r="BY26" s="176"/>
      <c r="BZ26" s="176"/>
    </row>
    <row r="27" spans="2:78" ht="25.5" customHeight="1" thickBot="1" x14ac:dyDescent="0.3">
      <c r="C27" s="118">
        <v>1</v>
      </c>
      <c r="D27" s="55" t="str">
        <f t="shared" ref="D27:D33" si="16">$E$8</f>
        <v>INSS</v>
      </c>
      <c r="E27" s="56" t="str">
        <f>IFERROR(VLOOKUP(CONCATENATE(C27,D27),$BC$23:$BF$600,4,FALSE),"")</f>
        <v>815061 - Tabela 1</v>
      </c>
      <c r="F27" s="57">
        <f>IFERROR(VLOOKUP(E27,$BF$24:$BP$600,2,FALSE),"")</f>
        <v>1.9E-2</v>
      </c>
      <c r="G27" s="58">
        <f>IFERROR(VLOOKUP(E27,BF24:BP600,11,0),"")</f>
        <v>2.5002278314111091E-2</v>
      </c>
      <c r="H27" s="59">
        <f>IFERROR($AL$18/G27*1.031703,"")</f>
        <v>21983.587509294608</v>
      </c>
      <c r="I27" s="60">
        <f t="shared" ref="I27:I33" si="17">IF(H27&lt;&gt;"",$N$21,"")</f>
        <v>19937.04</v>
      </c>
      <c r="J27" s="103">
        <f>IF(E27&lt;&gt;"",IF(I27&gt;H27,0,(H27-I27)/1.031703),"")</f>
        <v>1983.6595505631049</v>
      </c>
      <c r="K27" s="61" t="str">
        <f ca="1">IFERROR(IF(E27="","",IF(F27-$O$8&lt;=$D$25,IF(J27&gt;100,"TAB disponivel","Não Libera Troco"),"Tabela Superior Taxa Ponderada")),"")</f>
        <v>Tabela Superior Taxa Ponderada</v>
      </c>
      <c r="L27" s="97">
        <f>N17</f>
        <v>526.75</v>
      </c>
      <c r="M27" s="212"/>
      <c r="N27" s="171">
        <v>1.9400000000000001E-2</v>
      </c>
      <c r="O27" s="171">
        <f>C36</f>
        <v>1.8785E-2</v>
      </c>
      <c r="P27" s="161">
        <v>12</v>
      </c>
      <c r="Q27" s="161">
        <f t="shared" si="2"/>
        <v>276.85000000000002</v>
      </c>
      <c r="R27" s="161">
        <f t="shared" si="1"/>
        <v>249.9</v>
      </c>
      <c r="S27" s="161">
        <f t="shared" si="1"/>
        <v>0</v>
      </c>
      <c r="T27" s="161">
        <f t="shared" si="1"/>
        <v>0</v>
      </c>
      <c r="U27" s="161">
        <f t="shared" si="1"/>
        <v>0</v>
      </c>
      <c r="V27" s="161">
        <f t="shared" si="1"/>
        <v>0</v>
      </c>
      <c r="W27" s="161">
        <f t="shared" si="1"/>
        <v>0</v>
      </c>
      <c r="X27" s="161">
        <f t="shared" si="1"/>
        <v>0</v>
      </c>
      <c r="Y27" s="161">
        <f t="shared" si="1"/>
        <v>0</v>
      </c>
      <c r="Z27" s="161">
        <f t="shared" si="1"/>
        <v>0</v>
      </c>
      <c r="AB27" s="168">
        <v>4</v>
      </c>
      <c r="AC27" s="213">
        <f t="shared" ca="1" si="11"/>
        <v>45270</v>
      </c>
      <c r="AD27" s="214">
        <f t="shared" si="6"/>
        <v>526.75</v>
      </c>
      <c r="AE27" s="168"/>
      <c r="AF27" s="168">
        <v>4</v>
      </c>
      <c r="AG27" s="213">
        <f t="shared" ca="1" si="12"/>
        <v>45270</v>
      </c>
      <c r="AH27" s="208">
        <f t="shared" si="13"/>
        <v>6</v>
      </c>
      <c r="AI27" s="215">
        <f t="shared" ca="1" si="7"/>
        <v>5.6297358545143901</v>
      </c>
      <c r="AJ27" s="168">
        <v>4</v>
      </c>
      <c r="AK27" s="213">
        <f t="shared" ca="1" si="14"/>
        <v>45270</v>
      </c>
      <c r="AL27" s="208">
        <f t="shared" si="15"/>
        <v>532.75</v>
      </c>
      <c r="AN27" s="182">
        <v>4</v>
      </c>
      <c r="AO27" s="189">
        <f t="shared" ca="1" si="8"/>
        <v>45270</v>
      </c>
      <c r="BC27" s="186" t="str">
        <f t="shared" si="9"/>
        <v>4AERONAUTICA</v>
      </c>
      <c r="BD27" s="186">
        <f t="shared" si="10"/>
        <v>4</v>
      </c>
      <c r="BE27" s="209" t="str">
        <f>'SIMULADOR COM SALDO'!BF26</f>
        <v>AERONAUTICA</v>
      </c>
      <c r="BF27" s="209" t="str">
        <f>'SIMULADOR COM SALDO'!BG26</f>
        <v>795724 - Tabela 4</v>
      </c>
      <c r="BG27" s="209">
        <f>'SIMULADOR COM SALDO'!BH26</f>
        <v>1.5600000000000001E-2</v>
      </c>
      <c r="BH27" s="209">
        <f>'SIMULADOR COM SALDO'!BI26</f>
        <v>96</v>
      </c>
      <c r="BI27" s="209" t="str">
        <f>'SIMULADOR COM SALDO'!BJ26</f>
        <v/>
      </c>
      <c r="BJ27" s="209">
        <f>'SIMULADOR COM SALDO'!BK26</f>
        <v>2.1</v>
      </c>
      <c r="BK27" s="209">
        <f>'SIMULADOR COM SALDO'!BL26</f>
        <v>10</v>
      </c>
      <c r="BL27" s="209">
        <f>'SIMULADOR COM SALDO'!BM26</f>
        <v>50</v>
      </c>
      <c r="BM27" s="209" t="str">
        <f>'SIMULADOR COM SALDO'!BN26</f>
        <v>RFN-AERONAUTICA 4 DIG PORTAB</v>
      </c>
      <c r="BN27" s="209" t="str">
        <f>'SIMULADOR COM SALDO'!BO26</f>
        <v>1,3</v>
      </c>
      <c r="BO27" s="209">
        <f>'SIMULADOR COM SALDO'!BP26</f>
        <v>1.3000000000000001E-2</v>
      </c>
      <c r="BP27" s="209">
        <f>'SIMULADOR COM SALDO'!BQ26</f>
        <v>2.0985739038227591E-2</v>
      </c>
      <c r="BQ27" s="209">
        <f>'SIMULADOR COM SALDO'!BR26</f>
        <v>2.1000000000000001E-2</v>
      </c>
      <c r="BR27" s="209">
        <f>'SIMULADOR COM SALDO'!BS26</f>
        <v>2.9999999999999997E-4</v>
      </c>
    </row>
    <row r="28" spans="2:78" ht="28.5" customHeight="1" thickBot="1" x14ac:dyDescent="0.3">
      <c r="C28" s="118">
        <v>2</v>
      </c>
      <c r="D28" s="55" t="str">
        <f t="shared" si="16"/>
        <v>INSS</v>
      </c>
      <c r="E28" s="56" t="str">
        <f t="shared" ref="E28:E33" si="18">IFERROR(VLOOKUP(CONCATENATE(C28,D28),$BC$23:$BF$600,4,FALSE),"")</f>
        <v>815082 - Tabela 2</v>
      </c>
      <c r="F28" s="57">
        <f t="shared" ref="F28:F33" si="19">IFERROR(VLOOKUP(E28,$BF$24:$BP$600,2,FALSE),"")</f>
        <v>1.8500000000000003E-2</v>
      </c>
      <c r="G28" s="58">
        <f t="shared" ref="G28:G33" si="20">IFERROR(VLOOKUP(E28,BF25:BP601,11,0),"")</f>
        <v>2.4603439576403801E-2</v>
      </c>
      <c r="H28" s="59">
        <f t="shared" ref="H28:H33" si="21">IFERROR($AL$18/G28*1.031703,"")</f>
        <v>22339.956636678478</v>
      </c>
      <c r="I28" s="60">
        <f t="shared" si="17"/>
        <v>19937.04</v>
      </c>
      <c r="J28" s="103">
        <f t="shared" ref="J28:J33" si="22">IF(I28&lt;&gt;"",IF(I28&gt;H28,0,(H28-I28)/1.031703),"")</f>
        <v>2329.0778806288995</v>
      </c>
      <c r="K28" s="61" t="str">
        <f t="shared" ref="K28:K33" ca="1" si="23">IFERROR(IF(E28="","",IF(F28-$O$8&lt;=$D$25,IF(J28&gt;100,"TAB disponivel","Não Libera Troco"),"Tabela Superior Taxa Ponderada")),"")</f>
        <v>Tabela Superior Taxa Ponderada</v>
      </c>
      <c r="L28" s="95"/>
      <c r="M28" s="216"/>
      <c r="N28" s="171">
        <v>1.9199999999999998E-2</v>
      </c>
      <c r="O28" s="171">
        <v>1.9199999999999998E-2</v>
      </c>
      <c r="P28" s="161">
        <v>13</v>
      </c>
      <c r="Q28" s="161">
        <f t="shared" si="2"/>
        <v>276.85000000000002</v>
      </c>
      <c r="R28" s="161">
        <f t="shared" si="1"/>
        <v>249.9</v>
      </c>
      <c r="S28" s="161">
        <f t="shared" si="1"/>
        <v>0</v>
      </c>
      <c r="T28" s="161">
        <f t="shared" si="1"/>
        <v>0</v>
      </c>
      <c r="U28" s="161">
        <f t="shared" si="1"/>
        <v>0</v>
      </c>
      <c r="V28" s="161">
        <f t="shared" si="1"/>
        <v>0</v>
      </c>
      <c r="W28" s="161">
        <f t="shared" si="1"/>
        <v>0</v>
      </c>
      <c r="X28" s="161">
        <f t="shared" si="1"/>
        <v>0</v>
      </c>
      <c r="Y28" s="161">
        <f t="shared" si="1"/>
        <v>0</v>
      </c>
      <c r="Z28" s="161">
        <f t="shared" si="1"/>
        <v>0</v>
      </c>
      <c r="AB28" s="168">
        <v>5</v>
      </c>
      <c r="AC28" s="213">
        <f t="shared" ca="1" si="11"/>
        <v>45301</v>
      </c>
      <c r="AD28" s="214">
        <f t="shared" si="6"/>
        <v>526.75</v>
      </c>
      <c r="AE28" s="168"/>
      <c r="AF28" s="168">
        <v>5</v>
      </c>
      <c r="AG28" s="213">
        <f t="shared" ca="1" si="12"/>
        <v>45301</v>
      </c>
      <c r="AH28" s="208">
        <f t="shared" si="13"/>
        <v>6</v>
      </c>
      <c r="AI28" s="215">
        <f t="shared" ca="1" si="7"/>
        <v>5.5207403676920945</v>
      </c>
      <c r="AJ28" s="168">
        <v>5</v>
      </c>
      <c r="AK28" s="213">
        <f t="shared" ca="1" si="14"/>
        <v>45301</v>
      </c>
      <c r="AL28" s="208">
        <f t="shared" si="15"/>
        <v>532.75</v>
      </c>
      <c r="AN28" s="217">
        <v>5</v>
      </c>
      <c r="AO28" s="189">
        <f t="shared" ca="1" si="8"/>
        <v>45301</v>
      </c>
      <c r="BC28" s="186" t="str">
        <f t="shared" si="9"/>
        <v>1AMAZONPREV - AM</v>
      </c>
      <c r="BD28" s="186">
        <f t="shared" si="10"/>
        <v>1</v>
      </c>
      <c r="BE28" s="209" t="str">
        <f>'SIMULADOR COM SALDO'!BF27</f>
        <v>AMAZONPREV - AM</v>
      </c>
      <c r="BF28" s="209" t="str">
        <f>'SIMULADOR COM SALDO'!BG27</f>
        <v>755501 - Tabela 1</v>
      </c>
      <c r="BG28" s="209">
        <f>'SIMULADOR COM SALDO'!BH27</f>
        <v>2.5000000000000001E-2</v>
      </c>
      <c r="BH28" s="209">
        <f>'SIMULADOR COM SALDO'!BI27</f>
        <v>120</v>
      </c>
      <c r="BI28" s="209" t="str">
        <f>'SIMULADOR COM SALDO'!BJ27</f>
        <v/>
      </c>
      <c r="BJ28" s="209">
        <f>'SIMULADOR COM SALDO'!BK27</f>
        <v>2.6</v>
      </c>
      <c r="BK28" s="209">
        <f>'SIMULADOR COM SALDO'!BL27</f>
        <v>10</v>
      </c>
      <c r="BL28" s="209">
        <f>'SIMULADOR COM SALDO'!BM27</f>
        <v>50</v>
      </c>
      <c r="BM28" s="209" t="str">
        <f>'SIMULADOR COM SALDO'!BN27</f>
        <v>RFN - AMAZONPREV DIG 1 PORTAB PLUS</v>
      </c>
      <c r="BN28" s="209" t="str">
        <f>'SIMULADOR COM SALDO'!BO27</f>
        <v>1,85</v>
      </c>
      <c r="BO28" s="209">
        <f>'SIMULADOR COM SALDO'!BP27</f>
        <v>1.8500000000000003E-2</v>
      </c>
      <c r="BP28" s="209">
        <f>'SIMULADOR COM SALDO'!BQ27</f>
        <v>2.760788184564332E-2</v>
      </c>
      <c r="BQ28" s="209">
        <f>'SIMULADOR COM SALDO'!BR27</f>
        <v>2.6000000000000002E-2</v>
      </c>
      <c r="BR28" s="209">
        <f>'SIMULADOR COM SALDO'!BS27</f>
        <v>2.9999999999999997E-4</v>
      </c>
    </row>
    <row r="29" spans="2:78" ht="27" customHeight="1" thickBot="1" x14ac:dyDescent="0.3">
      <c r="C29" s="118">
        <v>3</v>
      </c>
      <c r="D29" s="55" t="str">
        <f t="shared" si="16"/>
        <v>INSS</v>
      </c>
      <c r="E29" s="56" t="str">
        <f t="shared" si="18"/>
        <v>815083 - Tabela 3</v>
      </c>
      <c r="F29" s="57">
        <f t="shared" si="19"/>
        <v>1.8000000000000002E-2</v>
      </c>
      <c r="G29" s="58">
        <f t="shared" si="20"/>
        <v>2.4207712468790974E-2</v>
      </c>
      <c r="H29" s="59">
        <f t="shared" si="21"/>
        <v>22705.15125948417</v>
      </c>
      <c r="I29" s="60">
        <f t="shared" si="17"/>
        <v>19937.04</v>
      </c>
      <c r="J29" s="103">
        <f t="shared" si="22"/>
        <v>2683.0505091912778</v>
      </c>
      <c r="K29" s="61" t="str">
        <f t="shared" ca="1" si="23"/>
        <v>Tabela Superior Taxa Ponderada</v>
      </c>
      <c r="L29" s="11"/>
      <c r="M29" s="216"/>
      <c r="N29" s="171">
        <f t="shared" ref="N29:N34" si="24">O29-0.0002</f>
        <v>1.8500000000000003E-2</v>
      </c>
      <c r="O29" s="171">
        <v>1.8700000000000001E-2</v>
      </c>
      <c r="P29" s="161">
        <v>14</v>
      </c>
      <c r="Q29" s="161">
        <f t="shared" si="2"/>
        <v>276.85000000000002</v>
      </c>
      <c r="R29" s="161">
        <f t="shared" si="1"/>
        <v>249.9</v>
      </c>
      <c r="S29" s="161">
        <f t="shared" si="1"/>
        <v>0</v>
      </c>
      <c r="T29" s="161">
        <f t="shared" si="1"/>
        <v>0</v>
      </c>
      <c r="U29" s="161">
        <f t="shared" si="1"/>
        <v>0</v>
      </c>
      <c r="V29" s="161">
        <f t="shared" si="1"/>
        <v>0</v>
      </c>
      <c r="W29" s="161">
        <f t="shared" si="1"/>
        <v>0</v>
      </c>
      <c r="X29" s="161">
        <f t="shared" si="1"/>
        <v>0</v>
      </c>
      <c r="Y29" s="161">
        <f t="shared" si="1"/>
        <v>0</v>
      </c>
      <c r="Z29" s="161">
        <f t="shared" si="1"/>
        <v>0</v>
      </c>
      <c r="AB29" s="168">
        <v>6</v>
      </c>
      <c r="AC29" s="213">
        <f t="shared" ca="1" si="11"/>
        <v>45332</v>
      </c>
      <c r="AD29" s="214">
        <f t="shared" si="6"/>
        <v>526.75</v>
      </c>
      <c r="AE29" s="168"/>
      <c r="AF29" s="168">
        <v>6</v>
      </c>
      <c r="AG29" s="213">
        <f t="shared" ca="1" si="12"/>
        <v>45332</v>
      </c>
      <c r="AH29" s="208">
        <f t="shared" si="13"/>
        <v>6</v>
      </c>
      <c r="AI29" s="215">
        <f t="shared" ca="1" si="7"/>
        <v>5.4138551070783887</v>
      </c>
      <c r="AJ29" s="168">
        <v>6</v>
      </c>
      <c r="AK29" s="213">
        <f t="shared" ca="1" si="14"/>
        <v>45332</v>
      </c>
      <c r="AL29" s="208">
        <f t="shared" si="15"/>
        <v>532.75</v>
      </c>
      <c r="AN29" s="168">
        <v>6</v>
      </c>
      <c r="AO29" s="189">
        <f t="shared" ca="1" si="8"/>
        <v>45332</v>
      </c>
      <c r="BC29" s="186" t="str">
        <f t="shared" si="9"/>
        <v>2AMAZONPREV - AM</v>
      </c>
      <c r="BD29" s="186">
        <f t="shared" si="10"/>
        <v>2</v>
      </c>
      <c r="BE29" s="209" t="str">
        <f>'SIMULADOR COM SALDO'!BF28</f>
        <v>AMAZONPREV - AM</v>
      </c>
      <c r="BF29" s="209" t="str">
        <f>'SIMULADOR COM SALDO'!BG28</f>
        <v>755504 - Tabela 2</v>
      </c>
      <c r="BG29" s="209">
        <f>'SIMULADOR COM SALDO'!BH28</f>
        <v>2.35E-2</v>
      </c>
      <c r="BH29" s="209">
        <f>'SIMULADOR COM SALDO'!BI28</f>
        <v>120</v>
      </c>
      <c r="BI29" s="209" t="str">
        <f>'SIMULADOR COM SALDO'!BJ28</f>
        <v/>
      </c>
      <c r="BJ29" s="209">
        <f>'SIMULADOR COM SALDO'!BK28</f>
        <v>2.6</v>
      </c>
      <c r="BK29" s="209">
        <f>'SIMULADOR COM SALDO'!BL28</f>
        <v>10</v>
      </c>
      <c r="BL29" s="209">
        <f>'SIMULADOR COM SALDO'!BM28</f>
        <v>55</v>
      </c>
      <c r="BM29" s="209" t="str">
        <f>'SIMULADOR COM SALDO'!BN28</f>
        <v>RFN - AMAZONPREV DIG 2 PORTAB PLUS</v>
      </c>
      <c r="BN29" s="209" t="str">
        <f>'SIMULADOR COM SALDO'!BO28</f>
        <v>1,85</v>
      </c>
      <c r="BO29" s="209">
        <f>'SIMULADOR COM SALDO'!BP28</f>
        <v>1.8500000000000003E-2</v>
      </c>
      <c r="BP29" s="209">
        <f>'SIMULADOR COM SALDO'!BQ28</f>
        <v>2.6301908970714952E-2</v>
      </c>
      <c r="BQ29" s="209">
        <f>'SIMULADOR COM SALDO'!BR28</f>
        <v>2.6000000000000002E-2</v>
      </c>
      <c r="BR29" s="209">
        <f>'SIMULADOR COM SALDO'!BS28</f>
        <v>2.9999999999999997E-4</v>
      </c>
    </row>
    <row r="30" spans="2:78" ht="27" customHeight="1" thickBot="1" x14ac:dyDescent="0.3">
      <c r="B30" s="146" t="s">
        <v>520</v>
      </c>
      <c r="C30" s="118">
        <v>4</v>
      </c>
      <c r="D30" s="55" t="str">
        <f t="shared" si="16"/>
        <v>INSS</v>
      </c>
      <c r="E30" s="56" t="str">
        <f t="shared" si="18"/>
        <v>815084 - Tabela 4</v>
      </c>
      <c r="F30" s="57">
        <f t="shared" si="19"/>
        <v>1.7500000000000002E-2</v>
      </c>
      <c r="G30" s="58">
        <f t="shared" si="20"/>
        <v>2.3815130011921141E-2</v>
      </c>
      <c r="H30" s="59">
        <f t="shared" si="21"/>
        <v>23079.436180901248</v>
      </c>
      <c r="I30" s="60">
        <f t="shared" si="17"/>
        <v>19937.04</v>
      </c>
      <c r="J30" s="103">
        <f t="shared" si="22"/>
        <v>3045.8341023543085</v>
      </c>
      <c r="K30" s="61" t="str">
        <f t="shared" ca="1" si="23"/>
        <v>TAB disponivel</v>
      </c>
      <c r="L30" s="11"/>
      <c r="M30" s="216"/>
      <c r="N30" s="171">
        <f t="shared" si="24"/>
        <v>1.8000000000000002E-2</v>
      </c>
      <c r="O30" s="171">
        <v>1.8200000000000001E-2</v>
      </c>
      <c r="P30" s="161">
        <v>15</v>
      </c>
      <c r="Q30" s="161">
        <f t="shared" si="2"/>
        <v>276.85000000000002</v>
      </c>
      <c r="R30" s="161">
        <f t="shared" si="1"/>
        <v>249.9</v>
      </c>
      <c r="S30" s="161">
        <f t="shared" si="1"/>
        <v>0</v>
      </c>
      <c r="T30" s="161">
        <f t="shared" si="1"/>
        <v>0</v>
      </c>
      <c r="U30" s="161">
        <f t="shared" si="1"/>
        <v>0</v>
      </c>
      <c r="V30" s="161">
        <f t="shared" si="1"/>
        <v>0</v>
      </c>
      <c r="W30" s="161">
        <f t="shared" si="1"/>
        <v>0</v>
      </c>
      <c r="X30" s="161">
        <f t="shared" si="1"/>
        <v>0</v>
      </c>
      <c r="Y30" s="161">
        <f t="shared" si="1"/>
        <v>0</v>
      </c>
      <c r="Z30" s="161">
        <f t="shared" si="1"/>
        <v>0</v>
      </c>
      <c r="AB30" s="168">
        <v>7</v>
      </c>
      <c r="AC30" s="213">
        <f t="shared" ca="1" si="11"/>
        <v>45361</v>
      </c>
      <c r="AD30" s="214">
        <f t="shared" si="6"/>
        <v>526.75</v>
      </c>
      <c r="AE30" s="168"/>
      <c r="AF30" s="168">
        <v>7</v>
      </c>
      <c r="AG30" s="213">
        <f t="shared" ca="1" si="12"/>
        <v>45361</v>
      </c>
      <c r="AH30" s="208">
        <f t="shared" si="13"/>
        <v>6</v>
      </c>
      <c r="AI30" s="215">
        <f t="shared" ca="1" si="7"/>
        <v>5.315739869611118</v>
      </c>
      <c r="AJ30" s="168">
        <v>7</v>
      </c>
      <c r="AK30" s="213">
        <f t="shared" ca="1" si="14"/>
        <v>45361</v>
      </c>
      <c r="AL30" s="208">
        <f t="shared" si="15"/>
        <v>532.75</v>
      </c>
      <c r="AN30" s="168">
        <v>7</v>
      </c>
      <c r="AO30" s="189">
        <f t="shared" ca="1" si="8"/>
        <v>45361</v>
      </c>
      <c r="BC30" s="186" t="str">
        <f t="shared" si="9"/>
        <v>1BOMBEIROS MG</v>
      </c>
      <c r="BD30" s="186">
        <f t="shared" si="10"/>
        <v>1</v>
      </c>
      <c r="BE30" s="209" t="str">
        <f>'SIMULADOR COM SALDO'!BF29</f>
        <v>BOMBEIROS MG</v>
      </c>
      <c r="BF30" s="209" t="str">
        <f>'SIMULADOR COM SALDO'!BG29</f>
        <v>765611 - Tabela 1</v>
      </c>
      <c r="BG30" s="209">
        <f>'SIMULADOR COM SALDO'!BH29</f>
        <v>2.1499999999999998E-2</v>
      </c>
      <c r="BH30" s="209">
        <f>'SIMULADOR COM SALDO'!BI29</f>
        <v>120</v>
      </c>
      <c r="BI30" s="209" t="str">
        <f>'SIMULADOR COM SALDO'!BJ29</f>
        <v/>
      </c>
      <c r="BJ30" s="209">
        <f>'SIMULADOR COM SALDO'!BK29</f>
        <v>2.4</v>
      </c>
      <c r="BK30" s="209">
        <f>'SIMULADOR COM SALDO'!BL29</f>
        <v>7</v>
      </c>
      <c r="BL30" s="209">
        <f>'SIMULADOR COM SALDO'!BM29</f>
        <v>44</v>
      </c>
      <c r="BM30" s="209" t="str">
        <f>'SIMULADOR COM SALDO'!BN29</f>
        <v>RFN - BOMBEIROS 1 DIG PORTABILIDADE</v>
      </c>
      <c r="BN30" s="209" t="str">
        <f>'SIMULADOR COM SALDO'!BO29</f>
        <v>1,64</v>
      </c>
      <c r="BO30" s="209">
        <f>'SIMULADOR COM SALDO'!BP29</f>
        <v>1.6399999999999998E-2</v>
      </c>
      <c r="BP30" s="209">
        <f>'SIMULADOR COM SALDO'!BQ29</f>
        <v>2.4258759232831675E-2</v>
      </c>
      <c r="BQ30" s="209">
        <f>'SIMULADOR COM SALDO'!BR29</f>
        <v>2.4E-2</v>
      </c>
      <c r="BR30" s="209">
        <f>'SIMULADOR COM SALDO'!BS29</f>
        <v>2.9999999999999997E-4</v>
      </c>
    </row>
    <row r="31" spans="2:78" ht="24.75" customHeight="1" thickBot="1" x14ac:dyDescent="0.3">
      <c r="C31" s="118">
        <v>5</v>
      </c>
      <c r="D31" s="55" t="str">
        <f t="shared" si="16"/>
        <v>INSS</v>
      </c>
      <c r="E31" s="56" t="str">
        <f t="shared" si="18"/>
        <v>815085 - Tabela 5</v>
      </c>
      <c r="F31" s="57">
        <f t="shared" si="19"/>
        <v>1.7000000000000001E-2</v>
      </c>
      <c r="G31" s="58">
        <f t="shared" si="20"/>
        <v>2.3425724784414358E-2</v>
      </c>
      <c r="H31" s="59">
        <f t="shared" si="21"/>
        <v>23463.08506175601</v>
      </c>
      <c r="I31" s="60">
        <f t="shared" si="17"/>
        <v>19937.04</v>
      </c>
      <c r="J31" s="103">
        <f t="shared" si="22"/>
        <v>3417.6939116742019</v>
      </c>
      <c r="K31" s="61" t="str">
        <f t="shared" ca="1" si="23"/>
        <v>TAB disponivel</v>
      </c>
      <c r="L31" s="78"/>
      <c r="M31" s="216"/>
      <c r="N31" s="171">
        <f t="shared" si="24"/>
        <v>1.7500000000000002E-2</v>
      </c>
      <c r="O31" s="171">
        <v>1.77E-2</v>
      </c>
      <c r="P31" s="161">
        <v>16</v>
      </c>
      <c r="Q31" s="161">
        <f t="shared" si="2"/>
        <v>276.85000000000002</v>
      </c>
      <c r="R31" s="161">
        <f t="shared" si="1"/>
        <v>249.9</v>
      </c>
      <c r="S31" s="161">
        <f t="shared" si="1"/>
        <v>0</v>
      </c>
      <c r="T31" s="161">
        <f t="shared" si="1"/>
        <v>0</v>
      </c>
      <c r="U31" s="161">
        <f t="shared" si="1"/>
        <v>0</v>
      </c>
      <c r="V31" s="161">
        <f t="shared" si="1"/>
        <v>0</v>
      </c>
      <c r="W31" s="161">
        <f t="shared" si="1"/>
        <v>0</v>
      </c>
      <c r="X31" s="161">
        <f t="shared" si="1"/>
        <v>0</v>
      </c>
      <c r="Y31" s="161">
        <f t="shared" si="1"/>
        <v>0</v>
      </c>
      <c r="Z31" s="161">
        <f t="shared" si="1"/>
        <v>0</v>
      </c>
      <c r="AB31" s="168">
        <v>8</v>
      </c>
      <c r="AC31" s="213">
        <f t="shared" ca="1" si="11"/>
        <v>45392</v>
      </c>
      <c r="AD31" s="214">
        <f t="shared" si="6"/>
        <v>526.75</v>
      </c>
      <c r="AE31" s="168"/>
      <c r="AF31" s="168">
        <v>8</v>
      </c>
      <c r="AG31" s="213">
        <f t="shared" ca="1" si="12"/>
        <v>45392</v>
      </c>
      <c r="AH31" s="208">
        <f t="shared" si="13"/>
        <v>6</v>
      </c>
      <c r="AI31" s="215">
        <f t="shared" ca="1" si="7"/>
        <v>5.2128235570377068</v>
      </c>
      <c r="AJ31" s="168">
        <v>8</v>
      </c>
      <c r="AK31" s="213">
        <f t="shared" ca="1" si="14"/>
        <v>45392</v>
      </c>
      <c r="AL31" s="208">
        <f t="shared" si="15"/>
        <v>532.75</v>
      </c>
      <c r="AN31" s="168">
        <v>8</v>
      </c>
      <c r="AO31" s="189">
        <f t="shared" ca="1" si="8"/>
        <v>45392</v>
      </c>
      <c r="BC31" s="186" t="str">
        <f t="shared" si="9"/>
        <v>2BOMBEIROS MG</v>
      </c>
      <c r="BD31" s="186">
        <f t="shared" si="10"/>
        <v>2</v>
      </c>
      <c r="BE31" s="209" t="str">
        <f>'SIMULADOR COM SALDO'!BF30</f>
        <v>BOMBEIROS MG</v>
      </c>
      <c r="BF31" s="209" t="str">
        <f>'SIMULADOR COM SALDO'!BG30</f>
        <v>765613 - Tabela 3</v>
      </c>
      <c r="BG31" s="209">
        <f>'SIMULADOR COM SALDO'!BH30</f>
        <v>1.9400000000000001E-2</v>
      </c>
      <c r="BH31" s="209">
        <f>'SIMULADOR COM SALDO'!BI30</f>
        <v>120</v>
      </c>
      <c r="BI31" s="209" t="str">
        <f>'SIMULADOR COM SALDO'!BJ30</f>
        <v/>
      </c>
      <c r="BJ31" s="209">
        <f>'SIMULADOR COM SALDO'!BK30</f>
        <v>2.4</v>
      </c>
      <c r="BK31" s="209">
        <f>'SIMULADOR COM SALDO'!BL30</f>
        <v>7</v>
      </c>
      <c r="BL31" s="209">
        <f>'SIMULADOR COM SALDO'!BM30</f>
        <v>41</v>
      </c>
      <c r="BM31" s="209" t="str">
        <f>'SIMULADOR COM SALDO'!BN30</f>
        <v>RFN - BOMBEIROS 3 DIG PORTABILIDADE</v>
      </c>
      <c r="BN31" s="209" t="str">
        <f>'SIMULADOR COM SALDO'!BO30</f>
        <v>1,64</v>
      </c>
      <c r="BO31" s="209">
        <f>'SIMULADOR COM SALDO'!BP30</f>
        <v>1.6399999999999998E-2</v>
      </c>
      <c r="BP31" s="209">
        <f>'SIMULADOR COM SALDO'!BQ30</f>
        <v>2.2355143650368767E-2</v>
      </c>
      <c r="BQ31" s="209">
        <f>'SIMULADOR COM SALDO'!BR30</f>
        <v>2.4E-2</v>
      </c>
      <c r="BR31" s="209">
        <f>'SIMULADOR COM SALDO'!BS30</f>
        <v>2.9999999999999997E-4</v>
      </c>
    </row>
    <row r="32" spans="2:78" s="42" customFormat="1" ht="25.5" customHeight="1" thickBot="1" x14ac:dyDescent="0.3">
      <c r="C32" s="118">
        <v>6</v>
      </c>
      <c r="D32" s="55" t="str">
        <f t="shared" si="16"/>
        <v>INSS</v>
      </c>
      <c r="E32" s="56" t="str">
        <f t="shared" si="18"/>
        <v>815086 - Tabela 6</v>
      </c>
      <c r="F32" s="57">
        <f t="shared" si="19"/>
        <v>1.6500000000000001E-2</v>
      </c>
      <c r="G32" s="58">
        <f t="shared" si="20"/>
        <v>2.3039528890469323E-2</v>
      </c>
      <c r="H32" s="59">
        <f t="shared" si="21"/>
        <v>23856.380738642943</v>
      </c>
      <c r="I32" s="100">
        <f t="shared" si="17"/>
        <v>19937.04</v>
      </c>
      <c r="J32" s="103">
        <f t="shared" si="22"/>
        <v>3798.9040825149705</v>
      </c>
      <c r="K32" s="61" t="str">
        <f t="shared" ca="1" si="23"/>
        <v>TAB disponivel</v>
      </c>
      <c r="L32" s="67"/>
      <c r="M32" s="218"/>
      <c r="N32" s="219">
        <f t="shared" si="24"/>
        <v>1.7000000000000001E-2</v>
      </c>
      <c r="O32" s="219">
        <v>1.72E-2</v>
      </c>
      <c r="P32" s="3">
        <v>17</v>
      </c>
      <c r="Q32" s="161">
        <f t="shared" si="2"/>
        <v>276.85000000000002</v>
      </c>
      <c r="R32" s="161">
        <f t="shared" ref="R32:R95" si="25">IF($P32&lt;=E$20,E$17,0)</f>
        <v>249.9</v>
      </c>
      <c r="S32" s="161">
        <f t="shared" ref="S32:S95" si="26">IF($P32&lt;=F$20,F$17,0)</f>
        <v>0</v>
      </c>
      <c r="T32" s="161">
        <f t="shared" ref="T32:T95" si="27">IF($P32&lt;=G$20,G$17,0)</f>
        <v>0</v>
      </c>
      <c r="U32" s="161">
        <f t="shared" ref="U32:U95" si="28">IF($P32&lt;=H$20,H$17,0)</f>
        <v>0</v>
      </c>
      <c r="V32" s="161">
        <f t="shared" ref="V32:V95" si="29">IF($P32&lt;=I$20,I$17,0)</f>
        <v>0</v>
      </c>
      <c r="W32" s="161">
        <f t="shared" ref="W32:W95" si="30">IF($P32&lt;=J$20,J$17,0)</f>
        <v>0</v>
      </c>
      <c r="X32" s="161">
        <f t="shared" ref="X32:X95" si="31">IF($P32&lt;=K$20,K$17,0)</f>
        <v>0</v>
      </c>
      <c r="Y32" s="161">
        <f t="shared" ref="Y32:Y95" si="32">IF($P32&lt;=L$20,L$17,0)</f>
        <v>0</v>
      </c>
      <c r="Z32" s="161">
        <f t="shared" ref="Z32:Z95" si="33">IF($P32&lt;=M$20,M$17,0)</f>
        <v>0</v>
      </c>
      <c r="AA32" s="3"/>
      <c r="AB32" s="220">
        <v>9</v>
      </c>
      <c r="AC32" s="221">
        <f t="shared" ca="1" si="11"/>
        <v>45422</v>
      </c>
      <c r="AD32" s="222">
        <f t="shared" si="6"/>
        <v>526.75</v>
      </c>
      <c r="AE32" s="220"/>
      <c r="AF32" s="220">
        <v>9</v>
      </c>
      <c r="AG32" s="221">
        <f t="shared" ca="1" si="12"/>
        <v>45422</v>
      </c>
      <c r="AH32" s="208">
        <f t="shared" si="13"/>
        <v>6</v>
      </c>
      <c r="AI32" s="223">
        <f t="shared" ca="1" si="7"/>
        <v>5.1151246757312405</v>
      </c>
      <c r="AJ32" s="220">
        <v>9</v>
      </c>
      <c r="AK32" s="221">
        <f t="shared" ca="1" si="14"/>
        <v>45422</v>
      </c>
      <c r="AL32" s="208">
        <f t="shared" si="15"/>
        <v>532.75</v>
      </c>
      <c r="AM32" s="3"/>
      <c r="AN32" s="168">
        <v>9</v>
      </c>
      <c r="AO32" s="189">
        <f t="shared" ca="1" si="8"/>
        <v>45422</v>
      </c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186" t="str">
        <f t="shared" si="9"/>
        <v>3BOMBEIROS MG</v>
      </c>
      <c r="BD32" s="186">
        <f t="shared" si="10"/>
        <v>3</v>
      </c>
      <c r="BE32" s="209" t="str">
        <f>'SIMULADOR COM SALDO'!BF31</f>
        <v>BOMBEIROS MG</v>
      </c>
      <c r="BF32" s="209" t="str">
        <f>'SIMULADOR COM SALDO'!BG31</f>
        <v>765614 - Tabela 4</v>
      </c>
      <c r="BG32" s="209">
        <f>'SIMULADOR COM SALDO'!BH31</f>
        <v>1.7899999999999999E-2</v>
      </c>
      <c r="BH32" s="209">
        <f>'SIMULADOR COM SALDO'!BI31</f>
        <v>120</v>
      </c>
      <c r="BI32" s="209" t="str">
        <f>'SIMULADOR COM SALDO'!BJ31</f>
        <v/>
      </c>
      <c r="BJ32" s="209">
        <f>'SIMULADOR COM SALDO'!BK31</f>
        <v>2.4</v>
      </c>
      <c r="BK32" s="209">
        <f>'SIMULADOR COM SALDO'!BL31</f>
        <v>7</v>
      </c>
      <c r="BL32" s="209">
        <f>'SIMULADOR COM SALDO'!BM31</f>
        <v>51</v>
      </c>
      <c r="BM32" s="209" t="str">
        <f>'SIMULADOR COM SALDO'!BN31</f>
        <v>RFN - BOMBEIROS 4 DIG PORTABILIDADE</v>
      </c>
      <c r="BN32" s="209" t="str">
        <f>'SIMULADOR COM SALDO'!BO31</f>
        <v>1,64</v>
      </c>
      <c r="BO32" s="209">
        <f>'SIMULADOR COM SALDO'!BP31</f>
        <v>1.6399999999999998E-2</v>
      </c>
      <c r="BP32" s="209">
        <f>'SIMULADOR COM SALDO'!BQ31</f>
        <v>2.1191314714692593E-2</v>
      </c>
      <c r="BQ32" s="209">
        <f>'SIMULADOR COM SALDO'!BR31</f>
        <v>2.4E-2</v>
      </c>
      <c r="BR32" s="209">
        <f>'SIMULADOR COM SALDO'!BS31</f>
        <v>2.9999999999999997E-4</v>
      </c>
      <c r="BS32" s="3"/>
      <c r="BT32" s="3"/>
      <c r="BU32" s="3"/>
      <c r="BV32" s="3"/>
      <c r="BW32" s="3"/>
      <c r="BX32" s="3"/>
      <c r="BY32" s="3"/>
      <c r="BZ32" s="3"/>
    </row>
    <row r="33" spans="2:78" s="42" customFormat="1" ht="27" customHeight="1" thickBot="1" x14ac:dyDescent="0.3">
      <c r="C33" s="118">
        <v>7</v>
      </c>
      <c r="D33" s="55" t="str">
        <f t="shared" si="16"/>
        <v>INSS</v>
      </c>
      <c r="E33" s="56" t="str">
        <f t="shared" si="18"/>
        <v/>
      </c>
      <c r="F33" s="57" t="str">
        <f t="shared" si="19"/>
        <v/>
      </c>
      <c r="G33" s="58" t="str">
        <f t="shared" si="20"/>
        <v/>
      </c>
      <c r="H33" s="59" t="str">
        <f t="shared" si="21"/>
        <v/>
      </c>
      <c r="I33" s="100" t="str">
        <f t="shared" si="17"/>
        <v/>
      </c>
      <c r="J33" s="103" t="str">
        <f t="shared" si="22"/>
        <v/>
      </c>
      <c r="K33" s="61" t="str">
        <f t="shared" si="23"/>
        <v/>
      </c>
      <c r="L33" s="43"/>
      <c r="M33" s="218"/>
      <c r="N33" s="219">
        <f t="shared" si="24"/>
        <v>1.6490000000000001E-2</v>
      </c>
      <c r="O33" s="219">
        <v>1.669E-2</v>
      </c>
      <c r="P33" s="3">
        <v>18</v>
      </c>
      <c r="Q33" s="161">
        <f t="shared" si="2"/>
        <v>276.85000000000002</v>
      </c>
      <c r="R33" s="161">
        <f t="shared" si="25"/>
        <v>249.9</v>
      </c>
      <c r="S33" s="161">
        <f t="shared" si="26"/>
        <v>0</v>
      </c>
      <c r="T33" s="161">
        <f t="shared" si="27"/>
        <v>0</v>
      </c>
      <c r="U33" s="161">
        <f t="shared" si="28"/>
        <v>0</v>
      </c>
      <c r="V33" s="161">
        <f t="shared" si="29"/>
        <v>0</v>
      </c>
      <c r="W33" s="161">
        <f t="shared" si="30"/>
        <v>0</v>
      </c>
      <c r="X33" s="161">
        <f t="shared" si="31"/>
        <v>0</v>
      </c>
      <c r="Y33" s="161">
        <f t="shared" si="32"/>
        <v>0</v>
      </c>
      <c r="Z33" s="161">
        <f t="shared" si="33"/>
        <v>0</v>
      </c>
      <c r="AA33" s="3"/>
      <c r="AB33" s="220">
        <v>10</v>
      </c>
      <c r="AC33" s="221">
        <f t="shared" ca="1" si="11"/>
        <v>45453</v>
      </c>
      <c r="AD33" s="222">
        <f t="shared" si="6"/>
        <v>526.75</v>
      </c>
      <c r="AE33" s="220"/>
      <c r="AF33" s="220">
        <v>10</v>
      </c>
      <c r="AG33" s="221">
        <f t="shared" ca="1" si="12"/>
        <v>45453</v>
      </c>
      <c r="AH33" s="208">
        <f t="shared" si="13"/>
        <v>6</v>
      </c>
      <c r="AI33" s="223">
        <f t="shared" ca="1" si="7"/>
        <v>5.0160924087482357</v>
      </c>
      <c r="AJ33" s="220">
        <v>10</v>
      </c>
      <c r="AK33" s="221">
        <f t="shared" ca="1" si="14"/>
        <v>45453</v>
      </c>
      <c r="AL33" s="208">
        <f t="shared" si="15"/>
        <v>532.75</v>
      </c>
      <c r="AM33" s="3"/>
      <c r="AN33" s="168">
        <v>10</v>
      </c>
      <c r="AO33" s="189">
        <f t="shared" ca="1" si="8"/>
        <v>45453</v>
      </c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186" t="str">
        <f t="shared" si="9"/>
        <v>1DEMAE</v>
      </c>
      <c r="BD33" s="186">
        <f t="shared" si="10"/>
        <v>1</v>
      </c>
      <c r="BE33" s="209" t="str">
        <f>'SIMULADOR COM SALDO'!BF32</f>
        <v>DEMAE</v>
      </c>
      <c r="BF33" s="209" t="str">
        <f>'SIMULADOR COM SALDO'!BG32</f>
        <v>795831 - Tabela 1</v>
      </c>
      <c r="BG33" s="209">
        <f>'SIMULADOR COM SALDO'!BH32</f>
        <v>2.0400000000000001E-2</v>
      </c>
      <c r="BH33" s="209">
        <f>'SIMULADOR COM SALDO'!BI32</f>
        <v>96</v>
      </c>
      <c r="BI33" s="209" t="str">
        <f>'SIMULADOR COM SALDO'!BJ32</f>
        <v/>
      </c>
      <c r="BJ33" s="209">
        <f>'SIMULADOR COM SALDO'!BK32</f>
        <v>2.4</v>
      </c>
      <c r="BK33" s="209">
        <f>'SIMULADOR COM SALDO'!BL32</f>
        <v>25</v>
      </c>
      <c r="BL33" s="209">
        <f>'SIMULADOR COM SALDO'!BM32</f>
        <v>45</v>
      </c>
      <c r="BM33" s="209" t="str">
        <f>'SIMULADOR COM SALDO'!BN32</f>
        <v>RFN - DEMAE UBERLANDIA 1 PORTAB DIG</v>
      </c>
      <c r="BN33" s="209" t="str">
        <f>'SIMULADOR COM SALDO'!BO32</f>
        <v>1,55</v>
      </c>
      <c r="BO33" s="209">
        <f>'SIMULADOR COM SALDO'!BP32</f>
        <v>1.55E-2</v>
      </c>
      <c r="BP33" s="209">
        <f>'SIMULADOR COM SALDO'!BQ32</f>
        <v>2.4796807002297968E-2</v>
      </c>
      <c r="BQ33" s="209">
        <f>'SIMULADOR COM SALDO'!BR32</f>
        <v>2.4E-2</v>
      </c>
      <c r="BR33" s="209">
        <f>'SIMULADOR COM SALDO'!BS32</f>
        <v>2.9999999999999997E-4</v>
      </c>
      <c r="BS33" s="3"/>
      <c r="BT33" s="3"/>
      <c r="BU33" s="3"/>
      <c r="BV33" s="3"/>
      <c r="BW33" s="3"/>
      <c r="BX33" s="3"/>
      <c r="BY33" s="3"/>
      <c r="BZ33" s="3"/>
    </row>
    <row r="34" spans="2:78" ht="15.75" customHeight="1" x14ac:dyDescent="0.25">
      <c r="L34" s="2"/>
      <c r="M34" s="216"/>
      <c r="N34" s="171">
        <f t="shared" si="24"/>
        <v>1.6290000000000002E-2</v>
      </c>
      <c r="O34" s="171">
        <v>1.6490000000000001E-2</v>
      </c>
      <c r="P34" s="161">
        <v>19</v>
      </c>
      <c r="Q34" s="161">
        <f t="shared" si="2"/>
        <v>276.85000000000002</v>
      </c>
      <c r="R34" s="161">
        <f t="shared" si="25"/>
        <v>249.9</v>
      </c>
      <c r="S34" s="161">
        <f t="shared" si="26"/>
        <v>0</v>
      </c>
      <c r="T34" s="161">
        <f t="shared" si="27"/>
        <v>0</v>
      </c>
      <c r="U34" s="161">
        <f t="shared" si="28"/>
        <v>0</v>
      </c>
      <c r="V34" s="161">
        <f t="shared" si="29"/>
        <v>0</v>
      </c>
      <c r="W34" s="161">
        <f t="shared" si="30"/>
        <v>0</v>
      </c>
      <c r="X34" s="161">
        <f t="shared" si="31"/>
        <v>0</v>
      </c>
      <c r="Y34" s="161">
        <f t="shared" si="32"/>
        <v>0</v>
      </c>
      <c r="Z34" s="161">
        <f t="shared" si="33"/>
        <v>0</v>
      </c>
      <c r="AB34" s="168">
        <v>11</v>
      </c>
      <c r="AC34" s="213">
        <f t="shared" ca="1" si="11"/>
        <v>45483</v>
      </c>
      <c r="AD34" s="214">
        <f t="shared" si="6"/>
        <v>526.75</v>
      </c>
      <c r="AE34" s="168"/>
      <c r="AF34" s="168">
        <v>11</v>
      </c>
      <c r="AG34" s="213">
        <f t="shared" ca="1" si="12"/>
        <v>45483</v>
      </c>
      <c r="AH34" s="208">
        <f t="shared" si="13"/>
        <v>6</v>
      </c>
      <c r="AI34" s="215">
        <f t="shared" ca="1" si="7"/>
        <v>4.9220806679896345</v>
      </c>
      <c r="AJ34" s="168">
        <v>11</v>
      </c>
      <c r="AK34" s="213">
        <f t="shared" ca="1" si="14"/>
        <v>45483</v>
      </c>
      <c r="AL34" s="208">
        <f t="shared" si="15"/>
        <v>532.75</v>
      </c>
      <c r="AN34" s="168">
        <v>11</v>
      </c>
      <c r="AO34" s="189">
        <f t="shared" ca="1" si="8"/>
        <v>45483</v>
      </c>
      <c r="BC34" s="186" t="str">
        <f t="shared" si="9"/>
        <v>1EXERCITO</v>
      </c>
      <c r="BD34" s="186">
        <f t="shared" si="10"/>
        <v>1</v>
      </c>
      <c r="BE34" s="209" t="str">
        <f>'SIMULADOR COM SALDO'!BF33</f>
        <v>EXERCITO</v>
      </c>
      <c r="BF34" s="209" t="str">
        <f>'SIMULADOR COM SALDO'!BG33</f>
        <v>795032 - Tabela 1</v>
      </c>
      <c r="BG34" s="209">
        <f>'SIMULADOR COM SALDO'!BH33</f>
        <v>1.95E-2</v>
      </c>
      <c r="BH34" s="209">
        <f>'SIMULADOR COM SALDO'!BI33</f>
        <v>72</v>
      </c>
      <c r="BI34" s="209" t="str">
        <f>'SIMULADOR COM SALDO'!BJ33</f>
        <v/>
      </c>
      <c r="BJ34" s="209">
        <f>'SIMULADOR COM SALDO'!BK33</f>
        <v>2</v>
      </c>
      <c r="BK34" s="209">
        <f>'SIMULADOR COM SALDO'!BL33</f>
        <v>2</v>
      </c>
      <c r="BL34" s="209">
        <f>'SIMULADOR COM SALDO'!BM33</f>
        <v>46</v>
      </c>
      <c r="BM34" s="209" t="str">
        <f>'SIMULADOR COM SALDO'!BN33</f>
        <v>RFN - EXERCITO DIG PORTABILIDADE 1</v>
      </c>
      <c r="BN34" s="209" t="str">
        <f>'SIMULADOR COM SALDO'!BO33</f>
        <v>1,3</v>
      </c>
      <c r="BO34" s="209">
        <f>'SIMULADOR COM SALDO'!BP33</f>
        <v>1.3000000000000001E-2</v>
      </c>
      <c r="BP34" s="209">
        <f>'SIMULADOR COM SALDO'!BQ33</f>
        <v>2.7024039617343877E-2</v>
      </c>
      <c r="BQ34" s="209">
        <f>'SIMULADOR COM SALDO'!BR33</f>
        <v>2.0500000000000001E-2</v>
      </c>
      <c r="BR34" s="209">
        <f>'SIMULADOR COM SALDO'!BS33</f>
        <v>2.9999999999999997E-4</v>
      </c>
    </row>
    <row r="35" spans="2:78" ht="14.25" customHeight="1" x14ac:dyDescent="0.25">
      <c r="F35" s="1" t="s">
        <v>53</v>
      </c>
      <c r="H35" s="6">
        <f ca="1">O9</f>
        <v>45169</v>
      </c>
      <c r="J35" s="2"/>
      <c r="K35" s="2"/>
      <c r="L35" s="2"/>
      <c r="M35" s="216"/>
      <c r="N35" s="216"/>
      <c r="O35" s="216"/>
      <c r="P35" s="161">
        <v>20</v>
      </c>
      <c r="Q35" s="161">
        <f t="shared" si="2"/>
        <v>276.85000000000002</v>
      </c>
      <c r="R35" s="161">
        <f t="shared" si="25"/>
        <v>249.9</v>
      </c>
      <c r="S35" s="161">
        <f t="shared" si="26"/>
        <v>0</v>
      </c>
      <c r="T35" s="161">
        <f t="shared" si="27"/>
        <v>0</v>
      </c>
      <c r="U35" s="161">
        <f t="shared" si="28"/>
        <v>0</v>
      </c>
      <c r="V35" s="161">
        <f t="shared" si="29"/>
        <v>0</v>
      </c>
      <c r="W35" s="161">
        <f t="shared" si="30"/>
        <v>0</v>
      </c>
      <c r="X35" s="161">
        <f t="shared" si="31"/>
        <v>0</v>
      </c>
      <c r="Y35" s="161">
        <f t="shared" si="32"/>
        <v>0</v>
      </c>
      <c r="Z35" s="161">
        <f t="shared" si="33"/>
        <v>0</v>
      </c>
      <c r="AB35" s="168">
        <v>12</v>
      </c>
      <c r="AC35" s="213">
        <f t="shared" ca="1" si="11"/>
        <v>45514</v>
      </c>
      <c r="AD35" s="214">
        <f t="shared" si="6"/>
        <v>526.75</v>
      </c>
      <c r="AE35" s="168"/>
      <c r="AF35" s="168">
        <v>12</v>
      </c>
      <c r="AG35" s="213">
        <f t="shared" ca="1" si="12"/>
        <v>45514</v>
      </c>
      <c r="AH35" s="208">
        <f t="shared" si="13"/>
        <v>6</v>
      </c>
      <c r="AI35" s="215">
        <f t="shared" ca="1" si="7"/>
        <v>4.8267858633220335</v>
      </c>
      <c r="AJ35" s="168">
        <v>12</v>
      </c>
      <c r="AK35" s="213">
        <f t="shared" ca="1" si="14"/>
        <v>45514</v>
      </c>
      <c r="AL35" s="208">
        <f t="shared" si="15"/>
        <v>532.75</v>
      </c>
      <c r="AN35" s="168">
        <v>12</v>
      </c>
      <c r="AO35" s="189">
        <f t="shared" ca="1" si="8"/>
        <v>45514</v>
      </c>
      <c r="BC35" s="186" t="str">
        <f t="shared" si="9"/>
        <v>2EXERCITO</v>
      </c>
      <c r="BD35" s="186">
        <f t="shared" si="10"/>
        <v>2</v>
      </c>
      <c r="BE35" s="209" t="str">
        <f>'SIMULADOR COM SALDO'!BF34</f>
        <v>EXERCITO</v>
      </c>
      <c r="BF35" s="209" t="str">
        <f>'SIMULADOR COM SALDO'!BG34</f>
        <v>795033 - Tabela 2</v>
      </c>
      <c r="BG35" s="209">
        <f>'SIMULADOR COM SALDO'!BH34</f>
        <v>1.8500000000000003E-2</v>
      </c>
      <c r="BH35" s="209">
        <f>'SIMULADOR COM SALDO'!BI34</f>
        <v>72</v>
      </c>
      <c r="BI35" s="209" t="str">
        <f>'SIMULADOR COM SALDO'!BJ34</f>
        <v/>
      </c>
      <c r="BJ35" s="209">
        <f>'SIMULADOR COM SALDO'!BK34</f>
        <v>2</v>
      </c>
      <c r="BK35" s="209">
        <f>'SIMULADOR COM SALDO'!BL34</f>
        <v>2</v>
      </c>
      <c r="BL35" s="209">
        <f>'SIMULADOR COM SALDO'!BM34</f>
        <v>46</v>
      </c>
      <c r="BM35" s="209" t="str">
        <f>'SIMULADOR COM SALDO'!BN34</f>
        <v>RFN - EXERCITO DIG PORTABILIDADE 2</v>
      </c>
      <c r="BN35" s="209" t="str">
        <f>'SIMULADOR COM SALDO'!BO34</f>
        <v>1,3</v>
      </c>
      <c r="BO35" s="209">
        <f>'SIMULADOR COM SALDO'!BP34</f>
        <v>1.3000000000000001E-2</v>
      </c>
      <c r="BP35" s="209">
        <f>'SIMULADOR COM SALDO'!BQ34</f>
        <v>2.6262121179465997E-2</v>
      </c>
      <c r="BQ35" s="209">
        <f>'SIMULADOR COM SALDO'!BR34</f>
        <v>2.0500000000000001E-2</v>
      </c>
      <c r="BR35" s="209">
        <f>'SIMULADOR COM SALDO'!BS34</f>
        <v>2.9999999999999997E-4</v>
      </c>
    </row>
    <row r="36" spans="2:78" hidden="1" x14ac:dyDescent="0.25">
      <c r="C36" s="34">
        <f>$T$13-0.0315%</f>
        <v>1.8785E-2</v>
      </c>
      <c r="F36" s="2"/>
      <c r="G36" s="2" t="s">
        <v>521</v>
      </c>
      <c r="H36" s="2" t="s">
        <v>56</v>
      </c>
      <c r="I36" s="2"/>
      <c r="J36" s="2"/>
      <c r="K36" s="2"/>
      <c r="L36" s="2"/>
      <c r="M36" s="216"/>
      <c r="N36" s="216"/>
      <c r="O36" s="216"/>
      <c r="P36" s="161">
        <v>21</v>
      </c>
      <c r="Q36" s="161">
        <f t="shared" si="2"/>
        <v>276.85000000000002</v>
      </c>
      <c r="R36" s="161">
        <f t="shared" si="25"/>
        <v>249.9</v>
      </c>
      <c r="S36" s="161">
        <f t="shared" si="26"/>
        <v>0</v>
      </c>
      <c r="T36" s="161">
        <f t="shared" si="27"/>
        <v>0</v>
      </c>
      <c r="U36" s="161">
        <f t="shared" si="28"/>
        <v>0</v>
      </c>
      <c r="V36" s="161">
        <f t="shared" si="29"/>
        <v>0</v>
      </c>
      <c r="W36" s="161">
        <f t="shared" si="30"/>
        <v>0</v>
      </c>
      <c r="X36" s="161">
        <f t="shared" si="31"/>
        <v>0</v>
      </c>
      <c r="Y36" s="161">
        <f t="shared" si="32"/>
        <v>0</v>
      </c>
      <c r="Z36" s="161">
        <f t="shared" si="33"/>
        <v>0</v>
      </c>
      <c r="AB36" s="168">
        <v>13</v>
      </c>
      <c r="AC36" s="213">
        <f t="shared" ca="1" si="11"/>
        <v>45545</v>
      </c>
      <c r="AD36" s="214">
        <f t="shared" si="6"/>
        <v>526.75</v>
      </c>
      <c r="AE36" s="168"/>
      <c r="AF36" s="168">
        <v>13</v>
      </c>
      <c r="AG36" s="213">
        <f t="shared" ca="1" si="12"/>
        <v>45545</v>
      </c>
      <c r="AH36" s="208">
        <f t="shared" si="13"/>
        <v>6</v>
      </c>
      <c r="AI36" s="215">
        <f t="shared" ca="1" si="7"/>
        <v>4.7333360304070684</v>
      </c>
      <c r="AJ36" s="168">
        <v>13</v>
      </c>
      <c r="AK36" s="213">
        <f t="shared" ca="1" si="14"/>
        <v>45545</v>
      </c>
      <c r="AL36" s="208">
        <f t="shared" si="15"/>
        <v>532.75</v>
      </c>
      <c r="AN36" s="168">
        <v>13</v>
      </c>
      <c r="AO36" s="189">
        <f t="shared" ca="1" si="8"/>
        <v>45545</v>
      </c>
      <c r="BC36" s="186" t="str">
        <f t="shared" si="9"/>
        <v>3EXERCITO</v>
      </c>
      <c r="BD36" s="186">
        <f t="shared" si="10"/>
        <v>3</v>
      </c>
      <c r="BE36" s="209" t="str">
        <f>'SIMULADOR COM SALDO'!BF35</f>
        <v>EXERCITO</v>
      </c>
      <c r="BF36" s="209" t="str">
        <f>'SIMULADOR COM SALDO'!BG35</f>
        <v>795034 - Tabela 3</v>
      </c>
      <c r="BG36" s="209">
        <f>'SIMULADOR COM SALDO'!BH35</f>
        <v>1.7500000000000002E-2</v>
      </c>
      <c r="BH36" s="209">
        <f>'SIMULADOR COM SALDO'!BI35</f>
        <v>72</v>
      </c>
      <c r="BI36" s="209" t="str">
        <f>'SIMULADOR COM SALDO'!BJ35</f>
        <v/>
      </c>
      <c r="BJ36" s="209">
        <f>'SIMULADOR COM SALDO'!BK35</f>
        <v>2</v>
      </c>
      <c r="BK36" s="209">
        <f>'SIMULADOR COM SALDO'!BL35</f>
        <v>2</v>
      </c>
      <c r="BL36" s="209">
        <f>'SIMULADOR COM SALDO'!BM35</f>
        <v>46</v>
      </c>
      <c r="BM36" s="209" t="str">
        <f>'SIMULADOR COM SALDO'!BN35</f>
        <v>RFN - EXERCITO DIG PORTABILIDADE 3</v>
      </c>
      <c r="BN36" s="209" t="str">
        <f>'SIMULADOR COM SALDO'!BO35</f>
        <v>1,3</v>
      </c>
      <c r="BO36" s="209">
        <f>'SIMULADOR COM SALDO'!BP35</f>
        <v>1.3000000000000001E-2</v>
      </c>
      <c r="BP36" s="209">
        <f>'SIMULADOR COM SALDO'!BQ35</f>
        <v>2.5511203950747206E-2</v>
      </c>
      <c r="BQ36" s="209">
        <f>'SIMULADOR COM SALDO'!BR35</f>
        <v>2.0500000000000001E-2</v>
      </c>
      <c r="BR36" s="209">
        <f>'SIMULADOR COM SALDO'!BS35</f>
        <v>2.9999999999999997E-4</v>
      </c>
    </row>
    <row r="37" spans="2:78" hidden="1" x14ac:dyDescent="0.25">
      <c r="B37">
        <v>0</v>
      </c>
      <c r="C37" s="13">
        <f t="shared" ref="C37:C68" ca="1" si="34">AC23</f>
        <v>45169</v>
      </c>
      <c r="D37" s="1">
        <f>-D21</f>
        <v>-10801.44</v>
      </c>
      <c r="E37" s="1">
        <f t="shared" ref="E37:M37" si="35">-E21</f>
        <v>-9135.6</v>
      </c>
      <c r="F37" s="1" t="e">
        <f t="shared" si="35"/>
        <v>#VALUE!</v>
      </c>
      <c r="G37" s="1" t="e">
        <f t="shared" si="35"/>
        <v>#VALUE!</v>
      </c>
      <c r="H37" s="1" t="e">
        <f t="shared" si="35"/>
        <v>#VALUE!</v>
      </c>
      <c r="I37" s="1" t="e">
        <f t="shared" si="35"/>
        <v>#VALUE!</v>
      </c>
      <c r="J37" s="1" t="e">
        <f t="shared" si="35"/>
        <v>#VALUE!</v>
      </c>
      <c r="K37" s="1" t="e">
        <f t="shared" si="35"/>
        <v>#VALUE!</v>
      </c>
      <c r="L37" s="1" t="e">
        <f t="shared" si="35"/>
        <v>#VALUE!</v>
      </c>
      <c r="M37" s="205" t="e">
        <f t="shared" si="35"/>
        <v>#VALUE!</v>
      </c>
      <c r="N37" s="216"/>
      <c r="O37" s="216"/>
      <c r="P37" s="161">
        <v>22</v>
      </c>
      <c r="Q37" s="161">
        <f t="shared" si="2"/>
        <v>276.85000000000002</v>
      </c>
      <c r="R37" s="161">
        <f t="shared" si="25"/>
        <v>249.9</v>
      </c>
      <c r="S37" s="161">
        <f t="shared" si="26"/>
        <v>0</v>
      </c>
      <c r="T37" s="161">
        <f t="shared" si="27"/>
        <v>0</v>
      </c>
      <c r="U37" s="161">
        <f t="shared" si="28"/>
        <v>0</v>
      </c>
      <c r="V37" s="161">
        <f t="shared" si="29"/>
        <v>0</v>
      </c>
      <c r="W37" s="161">
        <f t="shared" si="30"/>
        <v>0</v>
      </c>
      <c r="X37" s="161">
        <f t="shared" si="31"/>
        <v>0</v>
      </c>
      <c r="Y37" s="161">
        <f t="shared" si="32"/>
        <v>0</v>
      </c>
      <c r="Z37" s="161">
        <f t="shared" si="33"/>
        <v>0</v>
      </c>
      <c r="AB37" s="168">
        <v>14</v>
      </c>
      <c r="AC37" s="213">
        <f t="shared" ca="1" si="11"/>
        <v>45575</v>
      </c>
      <c r="AD37" s="214">
        <f t="shared" si="6"/>
        <v>526.75</v>
      </c>
      <c r="AE37" s="168"/>
      <c r="AF37" s="168">
        <v>14</v>
      </c>
      <c r="AG37" s="213">
        <f t="shared" ca="1" si="12"/>
        <v>45575</v>
      </c>
      <c r="AH37" s="208">
        <f t="shared" si="13"/>
        <v>6</v>
      </c>
      <c r="AI37" s="215">
        <f t="shared" ca="1" si="7"/>
        <v>4.6446237174046408</v>
      </c>
      <c r="AJ37" s="168">
        <v>14</v>
      </c>
      <c r="AK37" s="213">
        <f t="shared" ca="1" si="14"/>
        <v>45575</v>
      </c>
      <c r="AL37" s="208">
        <f t="shared" si="15"/>
        <v>532.75</v>
      </c>
      <c r="AN37" s="168">
        <v>14</v>
      </c>
      <c r="AO37" s="189">
        <f t="shared" ca="1" si="8"/>
        <v>45575</v>
      </c>
      <c r="BC37" s="186" t="str">
        <f t="shared" si="9"/>
        <v>4EXERCITO</v>
      </c>
      <c r="BD37" s="186">
        <f t="shared" si="10"/>
        <v>4</v>
      </c>
      <c r="BE37" s="209" t="str">
        <f>'SIMULADOR COM SALDO'!BF36</f>
        <v>EXERCITO</v>
      </c>
      <c r="BF37" s="209" t="str">
        <f>'SIMULADOR COM SALDO'!BG36</f>
        <v>795040 - Tabela 4</v>
      </c>
      <c r="BG37" s="209">
        <f>'SIMULADOR COM SALDO'!BH36</f>
        <v>1.6299999999999999E-2</v>
      </c>
      <c r="BH37" s="209">
        <f>'SIMULADOR COM SALDO'!BI36</f>
        <v>72</v>
      </c>
      <c r="BI37" s="209" t="str">
        <f>'SIMULADOR COM SALDO'!BJ36</f>
        <v/>
      </c>
      <c r="BJ37" s="209">
        <f>'SIMULADOR COM SALDO'!BK36</f>
        <v>2</v>
      </c>
      <c r="BK37" s="209">
        <f>'SIMULADOR COM SALDO'!BL36</f>
        <v>2</v>
      </c>
      <c r="BL37" s="209">
        <f>'SIMULADOR COM SALDO'!BM36</f>
        <v>47</v>
      </c>
      <c r="BM37" s="209" t="str">
        <f>'SIMULADOR COM SALDO'!BN36</f>
        <v>RFN - EXERCITO DIG PORTABILIDADE 4</v>
      </c>
      <c r="BN37" s="209" t="str">
        <f>'SIMULADOR COM SALDO'!BO36</f>
        <v>1,3</v>
      </c>
      <c r="BO37" s="209">
        <f>'SIMULADOR COM SALDO'!BP36</f>
        <v>1.3000000000000001E-2</v>
      </c>
      <c r="BP37" s="209">
        <f>'SIMULADOR COM SALDO'!BQ36</f>
        <v>2.4638155071843849E-2</v>
      </c>
      <c r="BQ37" s="209">
        <f>'SIMULADOR COM SALDO'!BR36</f>
        <v>2.0500000000000001E-2</v>
      </c>
      <c r="BR37" s="209">
        <f>'SIMULADOR COM SALDO'!BS36</f>
        <v>2.9999999999999997E-4</v>
      </c>
    </row>
    <row r="38" spans="2:78" hidden="1" x14ac:dyDescent="0.25">
      <c r="B38">
        <v>1</v>
      </c>
      <c r="C38" s="13">
        <f t="shared" ca="1" si="34"/>
        <v>45179</v>
      </c>
      <c r="D38" s="14">
        <f ca="1">IF($B38&lt;=D$20,D$17/(($C$36+1)^(($C38-$C$37)/30)),0)</f>
        <v>275.13785500750885</v>
      </c>
      <c r="E38" s="14">
        <f t="shared" ref="E38:M53" ca="1" si="36">IF($B38&lt;=E$20,E$17/(($C$36+1)^(($C38-$C$37)/30)),0)</f>
        <v>248.35452398907879</v>
      </c>
      <c r="F38" s="14">
        <f t="shared" si="36"/>
        <v>0</v>
      </c>
      <c r="G38" s="14">
        <f t="shared" si="36"/>
        <v>0</v>
      </c>
      <c r="H38" s="14">
        <f t="shared" si="36"/>
        <v>0</v>
      </c>
      <c r="I38" s="14">
        <f t="shared" si="36"/>
        <v>0</v>
      </c>
      <c r="J38" s="14">
        <f t="shared" si="36"/>
        <v>0</v>
      </c>
      <c r="K38" s="14">
        <f t="shared" si="36"/>
        <v>0</v>
      </c>
      <c r="L38" s="14">
        <f t="shared" si="36"/>
        <v>0</v>
      </c>
      <c r="M38" s="224">
        <f t="shared" si="36"/>
        <v>0</v>
      </c>
      <c r="N38" s="216"/>
      <c r="O38" s="216"/>
      <c r="P38" s="161">
        <v>23</v>
      </c>
      <c r="Q38" s="161">
        <f t="shared" si="2"/>
        <v>276.85000000000002</v>
      </c>
      <c r="R38" s="161">
        <f t="shared" si="25"/>
        <v>249.9</v>
      </c>
      <c r="S38" s="161">
        <f t="shared" si="26"/>
        <v>0</v>
      </c>
      <c r="T38" s="161">
        <f t="shared" si="27"/>
        <v>0</v>
      </c>
      <c r="U38" s="161">
        <f t="shared" si="28"/>
        <v>0</v>
      </c>
      <c r="V38" s="161">
        <f t="shared" si="29"/>
        <v>0</v>
      </c>
      <c r="W38" s="161">
        <f t="shared" si="30"/>
        <v>0</v>
      </c>
      <c r="X38" s="161">
        <f t="shared" si="31"/>
        <v>0</v>
      </c>
      <c r="Y38" s="161">
        <f t="shared" si="32"/>
        <v>0</v>
      </c>
      <c r="Z38" s="161">
        <f t="shared" si="33"/>
        <v>0</v>
      </c>
      <c r="AB38" s="168">
        <v>15</v>
      </c>
      <c r="AC38" s="213">
        <f t="shared" ca="1" si="11"/>
        <v>45606</v>
      </c>
      <c r="AD38" s="214">
        <f t="shared" si="6"/>
        <v>526.75</v>
      </c>
      <c r="AE38" s="168"/>
      <c r="AF38" s="168">
        <v>15</v>
      </c>
      <c r="AG38" s="213">
        <f t="shared" ca="1" si="12"/>
        <v>45606</v>
      </c>
      <c r="AH38" s="208">
        <f t="shared" si="13"/>
        <v>6</v>
      </c>
      <c r="AI38" s="215">
        <f t="shared" ca="1" si="7"/>
        <v>4.5547006666137326</v>
      </c>
      <c r="AJ38" s="168">
        <v>15</v>
      </c>
      <c r="AK38" s="213">
        <f t="shared" ca="1" si="14"/>
        <v>45606</v>
      </c>
      <c r="AL38" s="208">
        <f t="shared" si="15"/>
        <v>532.75</v>
      </c>
      <c r="AN38" s="168">
        <v>15</v>
      </c>
      <c r="AO38" s="189">
        <f t="shared" ca="1" si="8"/>
        <v>45606</v>
      </c>
      <c r="BC38" s="186" t="str">
        <f t="shared" si="9"/>
        <v>1GOV ACRE</v>
      </c>
      <c r="BD38" s="186">
        <f t="shared" si="10"/>
        <v>1</v>
      </c>
      <c r="BE38" s="209" t="str">
        <f>'SIMULADOR COM SALDO'!BF37</f>
        <v>GOV ACRE</v>
      </c>
      <c r="BF38" s="209" t="str">
        <f>'SIMULADOR COM SALDO'!BG37</f>
        <v>745131 - Tabela 1</v>
      </c>
      <c r="BG38" s="209">
        <f>'SIMULADOR COM SALDO'!BH37</f>
        <v>2.2499999999999999E-2</v>
      </c>
      <c r="BH38" s="209">
        <f>'SIMULADOR COM SALDO'!BI37</f>
        <v>120</v>
      </c>
      <c r="BI38" s="209" t="str">
        <f>'SIMULADOR COM SALDO'!BJ37</f>
        <v/>
      </c>
      <c r="BJ38" s="209">
        <f>'SIMULADOR COM SALDO'!BK37</f>
        <v>2.4</v>
      </c>
      <c r="BK38" s="209">
        <f>'SIMULADOR COM SALDO'!BL37</f>
        <v>5</v>
      </c>
      <c r="BL38" s="209">
        <f>'SIMULADOR COM SALDO'!BM37</f>
        <v>47</v>
      </c>
      <c r="BM38" s="209" t="str">
        <f>'SIMULADOR COM SALDO'!BN37</f>
        <v>RFN - GOV. ACRE DIG 1 PORTAB</v>
      </c>
      <c r="BN38" s="209" t="str">
        <f>'SIMULADOR COM SALDO'!BO37</f>
        <v>1,65</v>
      </c>
      <c r="BO38" s="209">
        <f>'SIMULADOR COM SALDO'!BP37</f>
        <v>1.6500000000000001E-2</v>
      </c>
      <c r="BP38" s="209">
        <f>'SIMULADOR COM SALDO'!BQ37</f>
        <v>2.5219294218817499E-2</v>
      </c>
      <c r="BQ38" s="209">
        <f>'SIMULADOR COM SALDO'!BR37</f>
        <v>2.4E-2</v>
      </c>
      <c r="BR38" s="209">
        <f>'SIMULADOR COM SALDO'!BS37</f>
        <v>2.9999999999999997E-4</v>
      </c>
    </row>
    <row r="39" spans="2:78" hidden="1" x14ac:dyDescent="0.25">
      <c r="B39">
        <v>2</v>
      </c>
      <c r="C39" s="13">
        <f t="shared" ca="1" si="34"/>
        <v>45209</v>
      </c>
      <c r="D39" s="14">
        <f t="shared" ref="D39:D102" ca="1" si="37">IF($B39&lt;=D$20,D$17/(($C$36+1)^(($C39-$C$37)/30)),0)</f>
        <v>270.06468980943851</v>
      </c>
      <c r="E39" s="14">
        <f t="shared" ca="1" si="36"/>
        <v>243.77520673064362</v>
      </c>
      <c r="F39" s="14">
        <f t="shared" si="36"/>
        <v>0</v>
      </c>
      <c r="G39" s="14">
        <f t="shared" si="36"/>
        <v>0</v>
      </c>
      <c r="H39" s="14">
        <f t="shared" si="36"/>
        <v>0</v>
      </c>
      <c r="I39" s="14">
        <f t="shared" si="36"/>
        <v>0</v>
      </c>
      <c r="J39" s="14">
        <f t="shared" si="36"/>
        <v>0</v>
      </c>
      <c r="K39" s="14">
        <f t="shared" si="36"/>
        <v>0</v>
      </c>
      <c r="L39" s="14">
        <f t="shared" si="36"/>
        <v>0</v>
      </c>
      <c r="M39" s="224">
        <f t="shared" si="36"/>
        <v>0</v>
      </c>
      <c r="N39" s="216"/>
      <c r="O39" s="216"/>
      <c r="P39" s="161">
        <v>24</v>
      </c>
      <c r="Q39" s="161">
        <f t="shared" si="2"/>
        <v>276.85000000000002</v>
      </c>
      <c r="R39" s="161">
        <f t="shared" si="25"/>
        <v>249.9</v>
      </c>
      <c r="S39" s="161">
        <f t="shared" si="26"/>
        <v>0</v>
      </c>
      <c r="T39" s="161">
        <f t="shared" si="27"/>
        <v>0</v>
      </c>
      <c r="U39" s="161">
        <f t="shared" si="28"/>
        <v>0</v>
      </c>
      <c r="V39" s="161">
        <f t="shared" si="29"/>
        <v>0</v>
      </c>
      <c r="W39" s="161">
        <f t="shared" si="30"/>
        <v>0</v>
      </c>
      <c r="X39" s="161">
        <f t="shared" si="31"/>
        <v>0</v>
      </c>
      <c r="Y39" s="161">
        <f t="shared" si="32"/>
        <v>0</v>
      </c>
      <c r="Z39" s="161">
        <f t="shared" si="33"/>
        <v>0</v>
      </c>
      <c r="AB39" s="168">
        <v>16</v>
      </c>
      <c r="AC39" s="213">
        <f t="shared" ca="1" si="11"/>
        <v>45636</v>
      </c>
      <c r="AD39" s="214">
        <f t="shared" si="6"/>
        <v>526.75</v>
      </c>
      <c r="AE39" s="168"/>
      <c r="AF39" s="168">
        <v>16</v>
      </c>
      <c r="AG39" s="213">
        <f t="shared" ca="1" si="12"/>
        <v>45636</v>
      </c>
      <c r="AH39" s="208">
        <f t="shared" si="13"/>
        <v>6</v>
      </c>
      <c r="AI39" s="215">
        <f t="shared" ca="1" si="7"/>
        <v>4.4693363424725083</v>
      </c>
      <c r="AJ39" s="168">
        <v>16</v>
      </c>
      <c r="AK39" s="213">
        <f t="shared" ca="1" si="14"/>
        <v>45636</v>
      </c>
      <c r="AL39" s="208">
        <f t="shared" si="15"/>
        <v>532.75</v>
      </c>
      <c r="AN39" s="168">
        <v>16</v>
      </c>
      <c r="AO39" s="189">
        <f t="shared" ca="1" si="8"/>
        <v>45636</v>
      </c>
      <c r="BC39" s="186" t="str">
        <f t="shared" si="9"/>
        <v>2GOV ACRE</v>
      </c>
      <c r="BD39" s="186">
        <f t="shared" si="10"/>
        <v>2</v>
      </c>
      <c r="BE39" s="209" t="str">
        <f>'SIMULADOR COM SALDO'!BF38</f>
        <v>GOV ACRE</v>
      </c>
      <c r="BF39" s="209" t="str">
        <f>'SIMULADOR COM SALDO'!BG38</f>
        <v>745137 - Tabela 2</v>
      </c>
      <c r="BG39" s="209">
        <f>'SIMULADOR COM SALDO'!BH38</f>
        <v>2.2000000000000002E-2</v>
      </c>
      <c r="BH39" s="209">
        <f>'SIMULADOR COM SALDO'!BI38</f>
        <v>120</v>
      </c>
      <c r="BI39" s="209" t="str">
        <f>'SIMULADOR COM SALDO'!BJ38</f>
        <v/>
      </c>
      <c r="BJ39" s="209">
        <f>'SIMULADOR COM SALDO'!BK38</f>
        <v>2.4</v>
      </c>
      <c r="BK39" s="209">
        <f>'SIMULADOR COM SALDO'!BL38</f>
        <v>5</v>
      </c>
      <c r="BL39" s="209">
        <f>'SIMULADOR COM SALDO'!BM38</f>
        <v>46</v>
      </c>
      <c r="BM39" s="209" t="str">
        <f>'SIMULADOR COM SALDO'!BN38</f>
        <v>RFN - GOV. ACRE DIG 2 PORTAB</v>
      </c>
      <c r="BN39" s="209" t="str">
        <f>'SIMULADOR COM SALDO'!BO38</f>
        <v>1,65</v>
      </c>
      <c r="BO39" s="209">
        <f>'SIMULADOR COM SALDO'!BP38</f>
        <v>1.6500000000000001E-2</v>
      </c>
      <c r="BP39" s="209">
        <f>'SIMULADOR COM SALDO'!BQ38</f>
        <v>2.4745448304353664E-2</v>
      </c>
      <c r="BQ39" s="209">
        <f>'SIMULADOR COM SALDO'!BR38</f>
        <v>2.4E-2</v>
      </c>
      <c r="BR39" s="209">
        <f>'SIMULADOR COM SALDO'!BS38</f>
        <v>2.9999999999999997E-4</v>
      </c>
    </row>
    <row r="40" spans="2:78" hidden="1" x14ac:dyDescent="0.25">
      <c r="B40">
        <v>3</v>
      </c>
      <c r="C40" s="13">
        <f t="shared" ca="1" si="34"/>
        <v>45240</v>
      </c>
      <c r="D40" s="14">
        <f t="shared" ca="1" si="37"/>
        <v>264.92067017766396</v>
      </c>
      <c r="E40" s="14">
        <f t="shared" ca="1" si="36"/>
        <v>239.13193237275863</v>
      </c>
      <c r="F40" s="14">
        <f t="shared" si="36"/>
        <v>0</v>
      </c>
      <c r="G40" s="14">
        <f t="shared" si="36"/>
        <v>0</v>
      </c>
      <c r="H40" s="14">
        <f t="shared" si="36"/>
        <v>0</v>
      </c>
      <c r="I40" s="14">
        <f t="shared" si="36"/>
        <v>0</v>
      </c>
      <c r="J40" s="14">
        <f t="shared" si="36"/>
        <v>0</v>
      </c>
      <c r="K40" s="14">
        <f t="shared" si="36"/>
        <v>0</v>
      </c>
      <c r="L40" s="14">
        <f t="shared" si="36"/>
        <v>0</v>
      </c>
      <c r="M40" s="224">
        <f t="shared" si="36"/>
        <v>0</v>
      </c>
      <c r="N40" s="216"/>
      <c r="O40" s="216"/>
      <c r="P40" s="161">
        <v>25</v>
      </c>
      <c r="Q40" s="161">
        <f t="shared" si="2"/>
        <v>276.85000000000002</v>
      </c>
      <c r="R40" s="161">
        <f t="shared" si="25"/>
        <v>249.9</v>
      </c>
      <c r="S40" s="161">
        <f t="shared" si="26"/>
        <v>0</v>
      </c>
      <c r="T40" s="161">
        <f t="shared" si="27"/>
        <v>0</v>
      </c>
      <c r="U40" s="161">
        <f t="shared" si="28"/>
        <v>0</v>
      </c>
      <c r="V40" s="161">
        <f t="shared" si="29"/>
        <v>0</v>
      </c>
      <c r="W40" s="161">
        <f t="shared" si="30"/>
        <v>0</v>
      </c>
      <c r="X40" s="161">
        <f t="shared" si="31"/>
        <v>0</v>
      </c>
      <c r="Y40" s="161">
        <f t="shared" si="32"/>
        <v>0</v>
      </c>
      <c r="Z40" s="161">
        <f t="shared" si="33"/>
        <v>0</v>
      </c>
      <c r="AB40" s="168">
        <v>17</v>
      </c>
      <c r="AC40" s="213">
        <f t="shared" ca="1" si="11"/>
        <v>45667</v>
      </c>
      <c r="AD40" s="214">
        <f t="shared" si="6"/>
        <v>526.75</v>
      </c>
      <c r="AE40" s="168"/>
      <c r="AF40" s="168">
        <v>17</v>
      </c>
      <c r="AG40" s="213">
        <f t="shared" ca="1" si="12"/>
        <v>45667</v>
      </c>
      <c r="AH40" s="208">
        <f t="shared" si="13"/>
        <v>6</v>
      </c>
      <c r="AI40" s="215">
        <f t="shared" ca="1" si="7"/>
        <v>4.3828069735981687</v>
      </c>
      <c r="AJ40" s="168">
        <v>17</v>
      </c>
      <c r="AK40" s="213">
        <f t="shared" ca="1" si="14"/>
        <v>45667</v>
      </c>
      <c r="AL40" s="208">
        <f t="shared" si="15"/>
        <v>532.75</v>
      </c>
      <c r="AN40" s="168">
        <v>17</v>
      </c>
      <c r="AO40" s="189">
        <f t="shared" ca="1" si="8"/>
        <v>45667</v>
      </c>
      <c r="BC40" s="186" t="str">
        <f t="shared" si="9"/>
        <v>1GOV AM</v>
      </c>
      <c r="BD40" s="186">
        <f t="shared" si="10"/>
        <v>1</v>
      </c>
      <c r="BE40" s="209" t="str">
        <f>'SIMULADOR COM SALDO'!BF39</f>
        <v>GOV AM</v>
      </c>
      <c r="BF40" s="209" t="str">
        <f>'SIMULADOR COM SALDO'!BG39</f>
        <v>775185 - Tabela 1</v>
      </c>
      <c r="BG40" s="209">
        <f>'SIMULADOR COM SALDO'!BH39</f>
        <v>2.35E-2</v>
      </c>
      <c r="BH40" s="209">
        <f>'SIMULADOR COM SALDO'!BI39</f>
        <v>120</v>
      </c>
      <c r="BI40" s="209" t="str">
        <f>'SIMULADOR COM SALDO'!BJ39</f>
        <v/>
      </c>
      <c r="BJ40" s="209">
        <f>'SIMULADOR COM SALDO'!BK39</f>
        <v>2.4</v>
      </c>
      <c r="BK40" s="209">
        <f>'SIMULADOR COM SALDO'!BL39</f>
        <v>20</v>
      </c>
      <c r="BL40" s="209">
        <f>'SIMULADOR COM SALDO'!BM39</f>
        <v>59</v>
      </c>
      <c r="BM40" s="209" t="str">
        <f>'SIMULADOR COM SALDO'!BN39</f>
        <v>RFN - GOV. AM PORTAB 1 DIG</v>
      </c>
      <c r="BN40" s="209" t="str">
        <f>'SIMULADOR COM SALDO'!BO39</f>
        <v>1,5</v>
      </c>
      <c r="BO40" s="209">
        <f>'SIMULADOR COM SALDO'!BP39</f>
        <v>1.4999999999999999E-2</v>
      </c>
      <c r="BP40" s="209">
        <f>'SIMULADOR COM SALDO'!BQ39</f>
        <v>2.6383494451857527E-2</v>
      </c>
      <c r="BQ40" s="209">
        <f>'SIMULADOR COM SALDO'!BR39</f>
        <v>2.4E-2</v>
      </c>
      <c r="BR40" s="209">
        <f>'SIMULADOR COM SALDO'!BS39</f>
        <v>2.9999999999999997E-4</v>
      </c>
    </row>
    <row r="41" spans="2:78" hidden="1" x14ac:dyDescent="0.25">
      <c r="B41">
        <v>4</v>
      </c>
      <c r="C41" s="13">
        <f t="shared" ca="1" si="34"/>
        <v>45270</v>
      </c>
      <c r="D41" s="14">
        <f t="shared" ca="1" si="37"/>
        <v>260.03589587367696</v>
      </c>
      <c r="E41" s="14">
        <f t="shared" ca="1" si="36"/>
        <v>234.72266707181461</v>
      </c>
      <c r="F41" s="14">
        <f t="shared" si="36"/>
        <v>0</v>
      </c>
      <c r="G41" s="14">
        <f t="shared" si="36"/>
        <v>0</v>
      </c>
      <c r="H41" s="14">
        <f t="shared" si="36"/>
        <v>0</v>
      </c>
      <c r="I41" s="14">
        <f t="shared" si="36"/>
        <v>0</v>
      </c>
      <c r="J41" s="14">
        <f t="shared" si="36"/>
        <v>0</v>
      </c>
      <c r="K41" s="14">
        <f t="shared" si="36"/>
        <v>0</v>
      </c>
      <c r="L41" s="14">
        <f t="shared" si="36"/>
        <v>0</v>
      </c>
      <c r="M41" s="224">
        <f t="shared" si="36"/>
        <v>0</v>
      </c>
      <c r="N41" s="216"/>
      <c r="O41" s="216"/>
      <c r="P41" s="161">
        <v>26</v>
      </c>
      <c r="Q41" s="161">
        <f t="shared" si="2"/>
        <v>276.85000000000002</v>
      </c>
      <c r="R41" s="161">
        <f t="shared" si="25"/>
        <v>249.9</v>
      </c>
      <c r="S41" s="161">
        <f t="shared" si="26"/>
        <v>0</v>
      </c>
      <c r="T41" s="161">
        <f t="shared" si="27"/>
        <v>0</v>
      </c>
      <c r="U41" s="161">
        <f t="shared" si="28"/>
        <v>0</v>
      </c>
      <c r="V41" s="161">
        <f t="shared" si="29"/>
        <v>0</v>
      </c>
      <c r="W41" s="161">
        <f t="shared" si="30"/>
        <v>0</v>
      </c>
      <c r="X41" s="161">
        <f t="shared" si="31"/>
        <v>0</v>
      </c>
      <c r="Y41" s="161">
        <f t="shared" si="32"/>
        <v>0</v>
      </c>
      <c r="Z41" s="161">
        <f t="shared" si="33"/>
        <v>0</v>
      </c>
      <c r="AB41" s="168">
        <v>18</v>
      </c>
      <c r="AC41" s="213">
        <f t="shared" ca="1" si="11"/>
        <v>45698</v>
      </c>
      <c r="AD41" s="214">
        <f t="shared" si="6"/>
        <v>526.75</v>
      </c>
      <c r="AE41" s="168"/>
      <c r="AF41" s="168">
        <v>18</v>
      </c>
      <c r="AG41" s="213">
        <f t="shared" ca="1" si="12"/>
        <v>45698</v>
      </c>
      <c r="AH41" s="208">
        <f t="shared" si="13"/>
        <v>6</v>
      </c>
      <c r="AI41" s="215">
        <f t="shared" ca="1" si="7"/>
        <v>4.2979528717218942</v>
      </c>
      <c r="AJ41" s="168">
        <v>18</v>
      </c>
      <c r="AK41" s="213">
        <f t="shared" ca="1" si="14"/>
        <v>45698</v>
      </c>
      <c r="AL41" s="208">
        <f t="shared" si="15"/>
        <v>532.75</v>
      </c>
      <c r="AN41" s="168">
        <v>18</v>
      </c>
      <c r="AO41" s="189">
        <f t="shared" ca="1" si="8"/>
        <v>45698</v>
      </c>
      <c r="BC41" s="186" t="str">
        <f t="shared" si="9"/>
        <v>2GOV AM</v>
      </c>
      <c r="BD41" s="186">
        <f t="shared" si="10"/>
        <v>2</v>
      </c>
      <c r="BE41" s="209" t="str">
        <f>'SIMULADOR COM SALDO'!BF40</f>
        <v>GOV AM</v>
      </c>
      <c r="BF41" s="209" t="str">
        <f>'SIMULADOR COM SALDO'!BG40</f>
        <v>775186 - Tabela 2</v>
      </c>
      <c r="BG41" s="209">
        <f>'SIMULADOR COM SALDO'!BH40</f>
        <v>2.2499999999999999E-2</v>
      </c>
      <c r="BH41" s="209">
        <f>'SIMULADOR COM SALDO'!BI40</f>
        <v>120</v>
      </c>
      <c r="BI41" s="209" t="str">
        <f>'SIMULADOR COM SALDO'!BJ40</f>
        <v/>
      </c>
      <c r="BJ41" s="209">
        <f>'SIMULADOR COM SALDO'!BK40</f>
        <v>2.4</v>
      </c>
      <c r="BK41" s="209">
        <f>'SIMULADOR COM SALDO'!BL40</f>
        <v>20</v>
      </c>
      <c r="BL41" s="209">
        <f>'SIMULADOR COM SALDO'!BM40</f>
        <v>58</v>
      </c>
      <c r="BM41" s="209" t="str">
        <f>'SIMULADOR COM SALDO'!BN40</f>
        <v>RFN - GOV. AM PORTAB 2 DIG</v>
      </c>
      <c r="BN41" s="209" t="str">
        <f>'SIMULADOR COM SALDO'!BO40</f>
        <v>1,5</v>
      </c>
      <c r="BO41" s="209">
        <f>'SIMULADOR COM SALDO'!BP40</f>
        <v>1.4999999999999999E-2</v>
      </c>
      <c r="BP41" s="209">
        <f>'SIMULADOR COM SALDO'!BQ40</f>
        <v>2.54258888694824E-2</v>
      </c>
      <c r="BQ41" s="209">
        <f>'SIMULADOR COM SALDO'!BR40</f>
        <v>2.4E-2</v>
      </c>
      <c r="BR41" s="209">
        <f>'SIMULADOR COM SALDO'!BS40</f>
        <v>2.9999999999999997E-4</v>
      </c>
    </row>
    <row r="42" spans="2:78" hidden="1" x14ac:dyDescent="0.25">
      <c r="B42">
        <v>5</v>
      </c>
      <c r="C42" s="13">
        <f t="shared" ca="1" si="34"/>
        <v>45301</v>
      </c>
      <c r="D42" s="14">
        <f t="shared" ca="1" si="37"/>
        <v>255.08289830008036</v>
      </c>
      <c r="E42" s="14">
        <f t="shared" ca="1" si="36"/>
        <v>230.25181970449731</v>
      </c>
      <c r="F42" s="14">
        <f t="shared" si="36"/>
        <v>0</v>
      </c>
      <c r="G42" s="14">
        <f t="shared" si="36"/>
        <v>0</v>
      </c>
      <c r="H42" s="14">
        <f t="shared" si="36"/>
        <v>0</v>
      </c>
      <c r="I42" s="14">
        <f t="shared" si="36"/>
        <v>0</v>
      </c>
      <c r="J42" s="14">
        <f t="shared" si="36"/>
        <v>0</v>
      </c>
      <c r="K42" s="14">
        <f t="shared" si="36"/>
        <v>0</v>
      </c>
      <c r="L42" s="14">
        <f t="shared" si="36"/>
        <v>0</v>
      </c>
      <c r="M42" s="224">
        <f t="shared" si="36"/>
        <v>0</v>
      </c>
      <c r="N42" s="216"/>
      <c r="O42" s="216"/>
      <c r="P42" s="161">
        <v>27</v>
      </c>
      <c r="Q42" s="161">
        <f t="shared" si="2"/>
        <v>276.85000000000002</v>
      </c>
      <c r="R42" s="161">
        <f t="shared" si="25"/>
        <v>249.9</v>
      </c>
      <c r="S42" s="161">
        <f t="shared" si="26"/>
        <v>0</v>
      </c>
      <c r="T42" s="161">
        <f t="shared" si="27"/>
        <v>0</v>
      </c>
      <c r="U42" s="161">
        <f t="shared" si="28"/>
        <v>0</v>
      </c>
      <c r="V42" s="161">
        <f t="shared" si="29"/>
        <v>0</v>
      </c>
      <c r="W42" s="161">
        <f t="shared" si="30"/>
        <v>0</v>
      </c>
      <c r="X42" s="161">
        <f t="shared" si="31"/>
        <v>0</v>
      </c>
      <c r="Y42" s="161">
        <f t="shared" si="32"/>
        <v>0</v>
      </c>
      <c r="Z42" s="161">
        <f t="shared" si="33"/>
        <v>0</v>
      </c>
      <c r="AB42" s="168">
        <v>19</v>
      </c>
      <c r="AC42" s="213">
        <f t="shared" ca="1" si="11"/>
        <v>45726</v>
      </c>
      <c r="AD42" s="214">
        <f t="shared" si="6"/>
        <v>526.75</v>
      </c>
      <c r="AE42" s="168"/>
      <c r="AF42" s="168">
        <v>19</v>
      </c>
      <c r="AG42" s="213">
        <f t="shared" ca="1" si="12"/>
        <v>45726</v>
      </c>
      <c r="AH42" s="208">
        <f t="shared" si="13"/>
        <v>6</v>
      </c>
      <c r="AI42" s="215">
        <f t="shared" ca="1" si="7"/>
        <v>4.2227233934712176</v>
      </c>
      <c r="AJ42" s="168">
        <v>19</v>
      </c>
      <c r="AK42" s="213">
        <f t="shared" ca="1" si="14"/>
        <v>45726</v>
      </c>
      <c r="AL42" s="208">
        <f t="shared" si="15"/>
        <v>532.75</v>
      </c>
      <c r="AN42" s="168">
        <v>19</v>
      </c>
      <c r="AO42" s="189">
        <f t="shared" ca="1" si="8"/>
        <v>45726</v>
      </c>
      <c r="BC42" s="186" t="str">
        <f t="shared" si="9"/>
        <v>3GOV AM</v>
      </c>
      <c r="BD42" s="186">
        <f t="shared" si="10"/>
        <v>3</v>
      </c>
      <c r="BE42" s="209" t="str">
        <f>'SIMULADOR COM SALDO'!BF41</f>
        <v>GOV AM</v>
      </c>
      <c r="BF42" s="209" t="str">
        <f>'SIMULADOR COM SALDO'!BG41</f>
        <v>775187 - Tabela 3</v>
      </c>
      <c r="BG42" s="209">
        <f>'SIMULADOR COM SALDO'!BH41</f>
        <v>2.1499999999999998E-2</v>
      </c>
      <c r="BH42" s="209">
        <f>'SIMULADOR COM SALDO'!BI41</f>
        <v>120</v>
      </c>
      <c r="BI42" s="209" t="str">
        <f>'SIMULADOR COM SALDO'!BJ41</f>
        <v/>
      </c>
      <c r="BJ42" s="209">
        <f>'SIMULADOR COM SALDO'!BK41</f>
        <v>2.4</v>
      </c>
      <c r="BK42" s="209">
        <f>'SIMULADOR COM SALDO'!BL41</f>
        <v>20</v>
      </c>
      <c r="BL42" s="209">
        <f>'SIMULADOR COM SALDO'!BM41</f>
        <v>57</v>
      </c>
      <c r="BM42" s="209" t="str">
        <f>'SIMULADOR COM SALDO'!BN41</f>
        <v>RFN - GOV. AM PORTAB 3 DIG</v>
      </c>
      <c r="BN42" s="209" t="str">
        <f>'SIMULADOR COM SALDO'!BO41</f>
        <v>1,5</v>
      </c>
      <c r="BO42" s="209">
        <f>'SIMULADOR COM SALDO'!BP41</f>
        <v>1.4999999999999999E-2</v>
      </c>
      <c r="BP42" s="209">
        <f>'SIMULADOR COM SALDO'!BQ41</f>
        <v>2.4483408472220424E-2</v>
      </c>
      <c r="BQ42" s="209">
        <f>'SIMULADOR COM SALDO'!BR41</f>
        <v>2.4E-2</v>
      </c>
      <c r="BR42" s="209">
        <f>'SIMULADOR COM SALDO'!BS41</f>
        <v>2.9999999999999997E-4</v>
      </c>
    </row>
    <row r="43" spans="2:78" hidden="1" x14ac:dyDescent="0.25">
      <c r="B43">
        <v>6</v>
      </c>
      <c r="C43" s="13">
        <f t="shared" ca="1" si="34"/>
        <v>45332</v>
      </c>
      <c r="D43" s="14">
        <f t="shared" ca="1" si="37"/>
        <v>250.22424225914645</v>
      </c>
      <c r="E43" s="14">
        <f t="shared" ca="1" si="36"/>
        <v>225.86613018082244</v>
      </c>
      <c r="F43" s="14">
        <f t="shared" si="36"/>
        <v>0</v>
      </c>
      <c r="G43" s="14">
        <f t="shared" si="36"/>
        <v>0</v>
      </c>
      <c r="H43" s="14">
        <f t="shared" si="36"/>
        <v>0</v>
      </c>
      <c r="I43" s="14">
        <f t="shared" si="36"/>
        <v>0</v>
      </c>
      <c r="J43" s="14">
        <f t="shared" si="36"/>
        <v>0</v>
      </c>
      <c r="K43" s="14">
        <f t="shared" si="36"/>
        <v>0</v>
      </c>
      <c r="L43" s="14">
        <f t="shared" si="36"/>
        <v>0</v>
      </c>
      <c r="M43" s="224">
        <f t="shared" si="36"/>
        <v>0</v>
      </c>
      <c r="N43" s="216"/>
      <c r="O43" s="216"/>
      <c r="P43" s="161">
        <v>28</v>
      </c>
      <c r="Q43" s="161">
        <f t="shared" si="2"/>
        <v>276.85000000000002</v>
      </c>
      <c r="R43" s="161">
        <f t="shared" si="25"/>
        <v>249.9</v>
      </c>
      <c r="S43" s="161">
        <f t="shared" si="26"/>
        <v>0</v>
      </c>
      <c r="T43" s="161">
        <f t="shared" si="27"/>
        <v>0</v>
      </c>
      <c r="U43" s="161">
        <f t="shared" si="28"/>
        <v>0</v>
      </c>
      <c r="V43" s="161">
        <f t="shared" si="29"/>
        <v>0</v>
      </c>
      <c r="W43" s="161">
        <f t="shared" si="30"/>
        <v>0</v>
      </c>
      <c r="X43" s="161">
        <f t="shared" si="31"/>
        <v>0</v>
      </c>
      <c r="Y43" s="161">
        <f t="shared" si="32"/>
        <v>0</v>
      </c>
      <c r="Z43" s="161">
        <f t="shared" si="33"/>
        <v>0</v>
      </c>
      <c r="AB43" s="168">
        <v>20</v>
      </c>
      <c r="AC43" s="213">
        <f t="shared" ca="1" si="11"/>
        <v>45757</v>
      </c>
      <c r="AD43" s="214">
        <f t="shared" si="6"/>
        <v>526.75</v>
      </c>
      <c r="AE43" s="168"/>
      <c r="AF43" s="168">
        <v>20</v>
      </c>
      <c r="AG43" s="213">
        <f t="shared" ca="1" si="12"/>
        <v>45757</v>
      </c>
      <c r="AH43" s="208">
        <f t="shared" si="13"/>
        <v>6</v>
      </c>
      <c r="AI43" s="215">
        <f t="shared" ca="1" si="7"/>
        <v>4.1409686177798823</v>
      </c>
      <c r="AJ43" s="168">
        <v>20</v>
      </c>
      <c r="AK43" s="213">
        <f t="shared" ca="1" si="14"/>
        <v>45757</v>
      </c>
      <c r="AL43" s="208">
        <f t="shared" si="15"/>
        <v>532.75</v>
      </c>
      <c r="AN43" s="168">
        <v>20</v>
      </c>
      <c r="AO43" s="189">
        <f t="shared" ca="1" si="8"/>
        <v>45757</v>
      </c>
      <c r="BC43" s="186" t="str">
        <f t="shared" si="9"/>
        <v>4GOV AM</v>
      </c>
      <c r="BD43" s="186">
        <f t="shared" si="10"/>
        <v>4</v>
      </c>
      <c r="BE43" s="209" t="str">
        <f>'SIMULADOR COM SALDO'!BF42</f>
        <v>GOV AM</v>
      </c>
      <c r="BF43" s="209" t="str">
        <f>'SIMULADOR COM SALDO'!BG42</f>
        <v>775188 - Tabela 4</v>
      </c>
      <c r="BG43" s="209">
        <f>'SIMULADOR COM SALDO'!BH42</f>
        <v>2.0499999999999997E-2</v>
      </c>
      <c r="BH43" s="209">
        <f>'SIMULADOR COM SALDO'!BI42</f>
        <v>120</v>
      </c>
      <c r="BI43" s="209" t="str">
        <f>'SIMULADOR COM SALDO'!BJ42</f>
        <v/>
      </c>
      <c r="BJ43" s="209">
        <f>'SIMULADOR COM SALDO'!BK42</f>
        <v>2.4</v>
      </c>
      <c r="BK43" s="209">
        <f>'SIMULADOR COM SALDO'!BL42</f>
        <v>20</v>
      </c>
      <c r="BL43" s="209">
        <f>'SIMULADOR COM SALDO'!BM42</f>
        <v>59</v>
      </c>
      <c r="BM43" s="209" t="str">
        <f>'SIMULADOR COM SALDO'!BN42</f>
        <v>RFN - GOV. AM PORTAB 4 DIG</v>
      </c>
      <c r="BN43" s="209" t="str">
        <f>'SIMULADOR COM SALDO'!BO42</f>
        <v>1,5</v>
      </c>
      <c r="BO43" s="209">
        <f>'SIMULADOR COM SALDO'!BP42</f>
        <v>1.4999999999999999E-2</v>
      </c>
      <c r="BP43" s="209">
        <f>'SIMULADOR COM SALDO'!BQ42</f>
        <v>2.3604264164566586E-2</v>
      </c>
      <c r="BQ43" s="209">
        <f>'SIMULADOR COM SALDO'!BR42</f>
        <v>2.4E-2</v>
      </c>
      <c r="BR43" s="209">
        <f>'SIMULADOR COM SALDO'!BS42</f>
        <v>2.9999999999999997E-4</v>
      </c>
    </row>
    <row r="44" spans="2:78" hidden="1" x14ac:dyDescent="0.25">
      <c r="B44">
        <v>7</v>
      </c>
      <c r="C44" s="13">
        <f t="shared" ca="1" si="34"/>
        <v>45361</v>
      </c>
      <c r="D44" s="14">
        <f t="shared" ca="1" si="37"/>
        <v>245.76286364150207</v>
      </c>
      <c r="E44" s="14">
        <f t="shared" ca="1" si="36"/>
        <v>221.83904505693107</v>
      </c>
      <c r="F44" s="14">
        <f t="shared" si="36"/>
        <v>0</v>
      </c>
      <c r="G44" s="14">
        <f t="shared" si="36"/>
        <v>0</v>
      </c>
      <c r="H44" s="14">
        <f t="shared" si="36"/>
        <v>0</v>
      </c>
      <c r="I44" s="14">
        <f t="shared" si="36"/>
        <v>0</v>
      </c>
      <c r="J44" s="14">
        <f t="shared" si="36"/>
        <v>0</v>
      </c>
      <c r="K44" s="14">
        <f t="shared" si="36"/>
        <v>0</v>
      </c>
      <c r="L44" s="14">
        <f t="shared" si="36"/>
        <v>0</v>
      </c>
      <c r="M44" s="224">
        <f t="shared" si="36"/>
        <v>0</v>
      </c>
      <c r="N44" s="216"/>
      <c r="O44" s="216"/>
      <c r="P44" s="161">
        <v>29</v>
      </c>
      <c r="Q44" s="161">
        <f t="shared" si="2"/>
        <v>276.85000000000002</v>
      </c>
      <c r="R44" s="161">
        <f t="shared" si="25"/>
        <v>249.9</v>
      </c>
      <c r="S44" s="161">
        <f t="shared" si="26"/>
        <v>0</v>
      </c>
      <c r="T44" s="161">
        <f t="shared" si="27"/>
        <v>0</v>
      </c>
      <c r="U44" s="161">
        <f t="shared" si="28"/>
        <v>0</v>
      </c>
      <c r="V44" s="161">
        <f t="shared" si="29"/>
        <v>0</v>
      </c>
      <c r="W44" s="161">
        <f t="shared" si="30"/>
        <v>0</v>
      </c>
      <c r="X44" s="161">
        <f t="shared" si="31"/>
        <v>0</v>
      </c>
      <c r="Y44" s="161">
        <f t="shared" si="32"/>
        <v>0</v>
      </c>
      <c r="Z44" s="161">
        <f t="shared" si="33"/>
        <v>0</v>
      </c>
      <c r="AB44" s="168">
        <v>21</v>
      </c>
      <c r="AC44" s="213">
        <f t="shared" ca="1" si="11"/>
        <v>45787</v>
      </c>
      <c r="AD44" s="214">
        <f t="shared" si="6"/>
        <v>526.75</v>
      </c>
      <c r="AE44" s="168"/>
      <c r="AF44" s="168">
        <v>21</v>
      </c>
      <c r="AG44" s="213">
        <f t="shared" ca="1" si="12"/>
        <v>45787</v>
      </c>
      <c r="AH44" s="208">
        <f t="shared" si="13"/>
        <v>6</v>
      </c>
      <c r="AI44" s="215">
        <f t="shared" ca="1" si="7"/>
        <v>4.0633584709840873</v>
      </c>
      <c r="AJ44" s="168">
        <v>21</v>
      </c>
      <c r="AK44" s="213">
        <f t="shared" ca="1" si="14"/>
        <v>45787</v>
      </c>
      <c r="AL44" s="208">
        <f t="shared" si="15"/>
        <v>532.75</v>
      </c>
      <c r="AN44" s="168">
        <v>21</v>
      </c>
      <c r="AO44" s="189">
        <f t="shared" ca="1" si="8"/>
        <v>45787</v>
      </c>
      <c r="BC44" s="186" t="str">
        <f t="shared" si="9"/>
        <v>1GOV BAHIA</v>
      </c>
      <c r="BD44" s="186">
        <f t="shared" si="10"/>
        <v>1</v>
      </c>
      <c r="BE44" s="209" t="str">
        <f>'SIMULADOR COM SALDO'!BF43</f>
        <v>GOV BAHIA</v>
      </c>
      <c r="BF44" s="209" t="str">
        <f>'SIMULADOR COM SALDO'!BG43</f>
        <v>715361 - Tabela 1</v>
      </c>
      <c r="BG44" s="209">
        <f>'SIMULADOR COM SALDO'!BH43</f>
        <v>2.2000000000000002E-2</v>
      </c>
      <c r="BH44" s="209">
        <f>'SIMULADOR COM SALDO'!BI43</f>
        <v>96</v>
      </c>
      <c r="BI44" s="209" t="str">
        <f>'SIMULADOR COM SALDO'!BJ43</f>
        <v/>
      </c>
      <c r="BJ44" s="209">
        <f>'SIMULADOR COM SALDO'!BK43</f>
        <v>2.2000000000000002</v>
      </c>
      <c r="BK44" s="209">
        <f>'SIMULADOR COM SALDO'!BL43</f>
        <v>10</v>
      </c>
      <c r="BL44" s="209">
        <f>'SIMULADOR COM SALDO'!BM43</f>
        <v>52</v>
      </c>
      <c r="BM44" s="209" t="str">
        <f>'SIMULADOR COM SALDO'!BN43</f>
        <v>RFN - GOV. BAHIA DIG PORTABILIDADE 1</v>
      </c>
      <c r="BN44" s="209" t="str">
        <f>'SIMULADOR COM SALDO'!BO43</f>
        <v>1,3</v>
      </c>
      <c r="BO44" s="209">
        <f>'SIMULADOR COM SALDO'!BP43</f>
        <v>1.3000000000000001E-2</v>
      </c>
      <c r="BP44" s="209">
        <f>'SIMULADOR COM SALDO'!BQ43</f>
        <v>2.6281978095351481E-2</v>
      </c>
      <c r="BQ44" s="209">
        <f>'SIMULADOR COM SALDO'!BR43</f>
        <v>2.2000000000000002E-2</v>
      </c>
      <c r="BR44" s="209">
        <f>'SIMULADOR COM SALDO'!BS43</f>
        <v>2.9999999999999997E-4</v>
      </c>
    </row>
    <row r="45" spans="2:78" hidden="1" x14ac:dyDescent="0.25">
      <c r="B45">
        <v>8</v>
      </c>
      <c r="C45" s="13">
        <f t="shared" ca="1" si="34"/>
        <v>45392</v>
      </c>
      <c r="D45" s="14">
        <f t="shared" ca="1" si="37"/>
        <v>241.08172966495351</v>
      </c>
      <c r="E45" s="14">
        <f t="shared" ca="1" si="36"/>
        <v>217.6135966887191</v>
      </c>
      <c r="F45" s="14">
        <f t="shared" si="36"/>
        <v>0</v>
      </c>
      <c r="G45" s="14">
        <f t="shared" si="36"/>
        <v>0</v>
      </c>
      <c r="H45" s="14">
        <f t="shared" si="36"/>
        <v>0</v>
      </c>
      <c r="I45" s="14">
        <f t="shared" si="36"/>
        <v>0</v>
      </c>
      <c r="J45" s="14">
        <f t="shared" si="36"/>
        <v>0</v>
      </c>
      <c r="K45" s="14">
        <f t="shared" si="36"/>
        <v>0</v>
      </c>
      <c r="L45" s="14">
        <f t="shared" si="36"/>
        <v>0</v>
      </c>
      <c r="M45" s="224">
        <f t="shared" si="36"/>
        <v>0</v>
      </c>
      <c r="N45" s="216"/>
      <c r="O45" s="216"/>
      <c r="P45" s="161">
        <v>30</v>
      </c>
      <c r="Q45" s="161">
        <f t="shared" si="2"/>
        <v>276.85000000000002</v>
      </c>
      <c r="R45" s="161">
        <f t="shared" si="25"/>
        <v>249.9</v>
      </c>
      <c r="S45" s="161">
        <f t="shared" si="26"/>
        <v>0</v>
      </c>
      <c r="T45" s="161">
        <f t="shared" si="27"/>
        <v>0</v>
      </c>
      <c r="U45" s="161">
        <f t="shared" si="28"/>
        <v>0</v>
      </c>
      <c r="V45" s="161">
        <f t="shared" si="29"/>
        <v>0</v>
      </c>
      <c r="W45" s="161">
        <f t="shared" si="30"/>
        <v>0</v>
      </c>
      <c r="X45" s="161">
        <f t="shared" si="31"/>
        <v>0</v>
      </c>
      <c r="Y45" s="161">
        <f t="shared" si="32"/>
        <v>0</v>
      </c>
      <c r="Z45" s="161">
        <f t="shared" si="33"/>
        <v>0</v>
      </c>
      <c r="AB45" s="168">
        <v>22</v>
      </c>
      <c r="AC45" s="213">
        <f t="shared" ca="1" si="11"/>
        <v>45818</v>
      </c>
      <c r="AD45" s="214">
        <f t="shared" si="6"/>
        <v>526.75</v>
      </c>
      <c r="AE45" s="168"/>
      <c r="AF45" s="168">
        <v>22</v>
      </c>
      <c r="AG45" s="213">
        <f t="shared" ca="1" si="12"/>
        <v>45818</v>
      </c>
      <c r="AH45" s="208">
        <f t="shared" si="13"/>
        <v>6</v>
      </c>
      <c r="AI45" s="215">
        <f t="shared" ca="1" si="7"/>
        <v>3.9846891077806146</v>
      </c>
      <c r="AJ45" s="168">
        <v>22</v>
      </c>
      <c r="AK45" s="213">
        <f t="shared" ca="1" si="14"/>
        <v>45818</v>
      </c>
      <c r="AL45" s="208">
        <f t="shared" si="15"/>
        <v>532.75</v>
      </c>
      <c r="AN45" s="168">
        <v>22</v>
      </c>
      <c r="AO45" s="189">
        <f t="shared" ca="1" si="8"/>
        <v>45818</v>
      </c>
      <c r="BC45" s="186" t="str">
        <f t="shared" si="9"/>
        <v>2GOV BAHIA</v>
      </c>
      <c r="BD45" s="186">
        <f t="shared" si="10"/>
        <v>2</v>
      </c>
      <c r="BE45" s="209" t="str">
        <f>'SIMULADOR COM SALDO'!BF44</f>
        <v>GOV BAHIA</v>
      </c>
      <c r="BF45" s="209" t="str">
        <f>'SIMULADOR COM SALDO'!BG44</f>
        <v>715362 - Tabela 2</v>
      </c>
      <c r="BG45" s="209">
        <f>'SIMULADOR COM SALDO'!BH44</f>
        <v>2.1000000000000001E-2</v>
      </c>
      <c r="BH45" s="209">
        <f>'SIMULADOR COM SALDO'!BI44</f>
        <v>96</v>
      </c>
      <c r="BI45" s="209" t="str">
        <f>'SIMULADOR COM SALDO'!BJ44</f>
        <v/>
      </c>
      <c r="BJ45" s="209">
        <f>'SIMULADOR COM SALDO'!BK44</f>
        <v>2.2000000000000002</v>
      </c>
      <c r="BK45" s="209">
        <f>'SIMULADOR COM SALDO'!BL44</f>
        <v>10</v>
      </c>
      <c r="BL45" s="209">
        <f>'SIMULADOR COM SALDO'!BM44</f>
        <v>52</v>
      </c>
      <c r="BM45" s="209" t="str">
        <f>'SIMULADOR COM SALDO'!BN44</f>
        <v>RFN - GOV. BAHIA DIG PORTABILIDADE 2</v>
      </c>
      <c r="BN45" s="209" t="str">
        <f>'SIMULADOR COM SALDO'!BO44</f>
        <v>1,3</v>
      </c>
      <c r="BO45" s="209">
        <f>'SIMULADOR COM SALDO'!BP44</f>
        <v>1.3000000000000001E-2</v>
      </c>
      <c r="BP45" s="209">
        <f>'SIMULADOR COM SALDO'!BQ44</f>
        <v>2.5423288791779856E-2</v>
      </c>
      <c r="BQ45" s="209">
        <f>'SIMULADOR COM SALDO'!BR44</f>
        <v>2.2000000000000002E-2</v>
      </c>
      <c r="BR45" s="209">
        <f>'SIMULADOR COM SALDO'!BS44</f>
        <v>2.9999999999999997E-4</v>
      </c>
    </row>
    <row r="46" spans="2:78" hidden="1" x14ac:dyDescent="0.25">
      <c r="B46">
        <v>9</v>
      </c>
      <c r="C46" s="13">
        <f t="shared" ca="1" si="34"/>
        <v>45422</v>
      </c>
      <c r="D46" s="14">
        <f t="shared" ca="1" si="37"/>
        <v>236.63651277252166</v>
      </c>
      <c r="E46" s="14">
        <f t="shared" ca="1" si="36"/>
        <v>213.60110002475406</v>
      </c>
      <c r="F46" s="14">
        <f t="shared" si="36"/>
        <v>0</v>
      </c>
      <c r="G46" s="14">
        <f t="shared" si="36"/>
        <v>0</v>
      </c>
      <c r="H46" s="14">
        <f t="shared" si="36"/>
        <v>0</v>
      </c>
      <c r="I46" s="14">
        <f t="shared" si="36"/>
        <v>0</v>
      </c>
      <c r="J46" s="14">
        <f t="shared" si="36"/>
        <v>0</v>
      </c>
      <c r="K46" s="14">
        <f t="shared" si="36"/>
        <v>0</v>
      </c>
      <c r="L46" s="14">
        <f t="shared" si="36"/>
        <v>0</v>
      </c>
      <c r="M46" s="224">
        <f t="shared" si="36"/>
        <v>0</v>
      </c>
      <c r="N46" s="216"/>
      <c r="O46" s="216"/>
      <c r="P46" s="161">
        <v>31</v>
      </c>
      <c r="Q46" s="161">
        <f t="shared" si="2"/>
        <v>276.85000000000002</v>
      </c>
      <c r="R46" s="161">
        <f t="shared" si="25"/>
        <v>249.9</v>
      </c>
      <c r="S46" s="161">
        <f t="shared" si="26"/>
        <v>0</v>
      </c>
      <c r="T46" s="161">
        <f t="shared" si="27"/>
        <v>0</v>
      </c>
      <c r="U46" s="161">
        <f t="shared" si="28"/>
        <v>0</v>
      </c>
      <c r="V46" s="161">
        <f t="shared" si="29"/>
        <v>0</v>
      </c>
      <c r="W46" s="161">
        <f t="shared" si="30"/>
        <v>0</v>
      </c>
      <c r="X46" s="161">
        <f t="shared" si="31"/>
        <v>0</v>
      </c>
      <c r="Y46" s="161">
        <f t="shared" si="32"/>
        <v>0</v>
      </c>
      <c r="Z46" s="161">
        <f t="shared" si="33"/>
        <v>0</v>
      </c>
      <c r="AB46" s="168">
        <v>23</v>
      </c>
      <c r="AC46" s="213">
        <f t="shared" ca="1" si="11"/>
        <v>45848</v>
      </c>
      <c r="AD46" s="214">
        <f t="shared" si="6"/>
        <v>526.75</v>
      </c>
      <c r="AE46" s="168"/>
      <c r="AF46" s="168">
        <v>23</v>
      </c>
      <c r="AG46" s="213">
        <f t="shared" ca="1" si="12"/>
        <v>45848</v>
      </c>
      <c r="AH46" s="208">
        <f t="shared" si="13"/>
        <v>6</v>
      </c>
      <c r="AI46" s="215">
        <f t="shared" ca="1" si="7"/>
        <v>3.9100079558243692</v>
      </c>
      <c r="AJ46" s="168">
        <v>23</v>
      </c>
      <c r="AK46" s="213">
        <f t="shared" ca="1" si="14"/>
        <v>45848</v>
      </c>
      <c r="AL46" s="208">
        <f t="shared" si="15"/>
        <v>532.75</v>
      </c>
      <c r="AN46" s="168">
        <v>23</v>
      </c>
      <c r="AO46" s="189">
        <f t="shared" ca="1" si="8"/>
        <v>45848</v>
      </c>
      <c r="BC46" s="186" t="str">
        <f t="shared" si="9"/>
        <v>3GOV BAHIA</v>
      </c>
      <c r="BD46" s="186">
        <f t="shared" si="10"/>
        <v>3</v>
      </c>
      <c r="BE46" s="209" t="str">
        <f>'SIMULADOR COM SALDO'!BF45</f>
        <v>GOV BAHIA</v>
      </c>
      <c r="BF46" s="209" t="str">
        <f>'SIMULADOR COM SALDO'!BG45</f>
        <v>715363 - Tabela 3</v>
      </c>
      <c r="BG46" s="209">
        <f>'SIMULADOR COM SALDO'!BH45</f>
        <v>0.02</v>
      </c>
      <c r="BH46" s="209">
        <f>'SIMULADOR COM SALDO'!BI45</f>
        <v>96</v>
      </c>
      <c r="BI46" s="209" t="str">
        <f>'SIMULADOR COM SALDO'!BJ45</f>
        <v/>
      </c>
      <c r="BJ46" s="209">
        <f>'SIMULADOR COM SALDO'!BK45</f>
        <v>2.2000000000000002</v>
      </c>
      <c r="BK46" s="209">
        <f>'SIMULADOR COM SALDO'!BL45</f>
        <v>10</v>
      </c>
      <c r="BL46" s="209">
        <f>'SIMULADOR COM SALDO'!BM45</f>
        <v>52</v>
      </c>
      <c r="BM46" s="209" t="str">
        <f>'SIMULADOR COM SALDO'!BN45</f>
        <v>RFN - GOV. BAHIA DIG PORTABILIDADE 3</v>
      </c>
      <c r="BN46" s="209" t="str">
        <f>'SIMULADOR COM SALDO'!BO45</f>
        <v>1,3</v>
      </c>
      <c r="BO46" s="209">
        <f>'SIMULADOR COM SALDO'!BP45</f>
        <v>1.3000000000000001E-2</v>
      </c>
      <c r="BP46" s="209">
        <f>'SIMULADOR COM SALDO'!BQ45</f>
        <v>2.4576842683118837E-2</v>
      </c>
      <c r="BQ46" s="209">
        <f>'SIMULADOR COM SALDO'!BR45</f>
        <v>2.2000000000000002E-2</v>
      </c>
      <c r="BR46" s="209">
        <f>'SIMULADOR COM SALDO'!BS45</f>
        <v>2.9999999999999997E-4</v>
      </c>
    </row>
    <row r="47" spans="2:78" hidden="1" x14ac:dyDescent="0.25">
      <c r="B47">
        <v>10</v>
      </c>
      <c r="C47" s="13">
        <f t="shared" ca="1" si="34"/>
        <v>45453</v>
      </c>
      <c r="D47" s="14">
        <f t="shared" ca="1" si="37"/>
        <v>232.12921169530409</v>
      </c>
      <c r="E47" s="14">
        <f t="shared" ca="1" si="36"/>
        <v>209.53256276921252</v>
      </c>
      <c r="F47" s="14">
        <f t="shared" si="36"/>
        <v>0</v>
      </c>
      <c r="G47" s="14">
        <f t="shared" si="36"/>
        <v>0</v>
      </c>
      <c r="H47" s="14">
        <f t="shared" si="36"/>
        <v>0</v>
      </c>
      <c r="I47" s="14">
        <f t="shared" si="36"/>
        <v>0</v>
      </c>
      <c r="J47" s="14">
        <f t="shared" si="36"/>
        <v>0</v>
      </c>
      <c r="K47" s="14">
        <f t="shared" si="36"/>
        <v>0</v>
      </c>
      <c r="L47" s="14">
        <f t="shared" si="36"/>
        <v>0</v>
      </c>
      <c r="M47" s="224">
        <f t="shared" si="36"/>
        <v>0</v>
      </c>
      <c r="N47" s="216"/>
      <c r="O47" s="216"/>
      <c r="P47" s="161">
        <v>32</v>
      </c>
      <c r="Q47" s="161">
        <f t="shared" si="2"/>
        <v>276.85000000000002</v>
      </c>
      <c r="R47" s="161">
        <f t="shared" si="25"/>
        <v>249.9</v>
      </c>
      <c r="S47" s="161">
        <f t="shared" si="26"/>
        <v>0</v>
      </c>
      <c r="T47" s="161">
        <f t="shared" si="27"/>
        <v>0</v>
      </c>
      <c r="U47" s="161">
        <f t="shared" si="28"/>
        <v>0</v>
      </c>
      <c r="V47" s="161">
        <f t="shared" si="29"/>
        <v>0</v>
      </c>
      <c r="W47" s="161">
        <f t="shared" si="30"/>
        <v>0</v>
      </c>
      <c r="X47" s="161">
        <f t="shared" si="31"/>
        <v>0</v>
      </c>
      <c r="Y47" s="161">
        <f t="shared" si="32"/>
        <v>0</v>
      </c>
      <c r="Z47" s="161">
        <f t="shared" si="33"/>
        <v>0</v>
      </c>
      <c r="AB47" s="168">
        <v>24</v>
      </c>
      <c r="AC47" s="213">
        <f t="shared" ca="1" si="11"/>
        <v>45879</v>
      </c>
      <c r="AD47" s="214">
        <f t="shared" si="6"/>
        <v>526.75</v>
      </c>
      <c r="AE47" s="168"/>
      <c r="AF47" s="168">
        <v>24</v>
      </c>
      <c r="AG47" s="213">
        <f t="shared" ca="1" si="12"/>
        <v>45879</v>
      </c>
      <c r="AH47" s="208">
        <f t="shared" si="13"/>
        <v>6</v>
      </c>
      <c r="AI47" s="215">
        <f t="shared" ca="1" si="7"/>
        <v>3.8343075621225258</v>
      </c>
      <c r="AJ47" s="168">
        <v>24</v>
      </c>
      <c r="AK47" s="213">
        <f t="shared" ca="1" si="14"/>
        <v>45879</v>
      </c>
      <c r="AL47" s="208">
        <f t="shared" si="15"/>
        <v>532.75</v>
      </c>
      <c r="AN47" s="168">
        <v>24</v>
      </c>
      <c r="AO47" s="189">
        <f t="shared" ca="1" si="8"/>
        <v>45879</v>
      </c>
      <c r="BC47" s="186" t="str">
        <f t="shared" si="9"/>
        <v>4GOV BAHIA</v>
      </c>
      <c r="BD47" s="186">
        <f t="shared" si="10"/>
        <v>4</v>
      </c>
      <c r="BE47" s="209" t="str">
        <f>'SIMULADOR COM SALDO'!BF46</f>
        <v>GOV BAHIA</v>
      </c>
      <c r="BF47" s="209" t="str">
        <f>'SIMULADOR COM SALDO'!BG46</f>
        <v>715364 - Tabela 4</v>
      </c>
      <c r="BG47" s="209">
        <f>'SIMULADOR COM SALDO'!BH46</f>
        <v>1.95E-2</v>
      </c>
      <c r="BH47" s="209">
        <f>'SIMULADOR COM SALDO'!BI46</f>
        <v>96</v>
      </c>
      <c r="BI47" s="209" t="str">
        <f>'SIMULADOR COM SALDO'!BJ46</f>
        <v/>
      </c>
      <c r="BJ47" s="209">
        <f>'SIMULADOR COM SALDO'!BK46</f>
        <v>2.2000000000000002</v>
      </c>
      <c r="BK47" s="209">
        <f>'SIMULADOR COM SALDO'!BL46</f>
        <v>10</v>
      </c>
      <c r="BL47" s="209">
        <f>'SIMULADOR COM SALDO'!BM46</f>
        <v>52</v>
      </c>
      <c r="BM47" s="209" t="str">
        <f>'SIMULADOR COM SALDO'!BN46</f>
        <v>RFN - GOV. BAHIA DIG PORTABILIDADE 4</v>
      </c>
      <c r="BN47" s="209" t="str">
        <f>'SIMULADOR COM SALDO'!BO46</f>
        <v>1,3</v>
      </c>
      <c r="BO47" s="209">
        <f>'SIMULADOR COM SALDO'!BP46</f>
        <v>1.3000000000000001E-2</v>
      </c>
      <c r="BP47" s="209">
        <f>'SIMULADOR COM SALDO'!BQ46</f>
        <v>2.4158328920274939E-2</v>
      </c>
      <c r="BQ47" s="209">
        <f>'SIMULADOR COM SALDO'!BR46</f>
        <v>2.2000000000000002E-2</v>
      </c>
      <c r="BR47" s="209">
        <f>'SIMULADOR COM SALDO'!BS46</f>
        <v>2.9999999999999997E-4</v>
      </c>
    </row>
    <row r="48" spans="2:78" hidden="1" x14ac:dyDescent="0.25">
      <c r="B48">
        <v>11</v>
      </c>
      <c r="C48" s="13">
        <f t="shared" ca="1" si="34"/>
        <v>45483</v>
      </c>
      <c r="D48" s="14">
        <f t="shared" ca="1" si="37"/>
        <v>227.84906697223067</v>
      </c>
      <c r="E48" s="14">
        <f t="shared" ca="1" si="36"/>
        <v>205.66906930236749</v>
      </c>
      <c r="F48" s="14">
        <f t="shared" si="36"/>
        <v>0</v>
      </c>
      <c r="G48" s="14">
        <f t="shared" si="36"/>
        <v>0</v>
      </c>
      <c r="H48" s="14">
        <f t="shared" si="36"/>
        <v>0</v>
      </c>
      <c r="I48" s="14">
        <f t="shared" si="36"/>
        <v>0</v>
      </c>
      <c r="J48" s="14">
        <f t="shared" si="36"/>
        <v>0</v>
      </c>
      <c r="K48" s="14">
        <f t="shared" si="36"/>
        <v>0</v>
      </c>
      <c r="L48" s="14">
        <f t="shared" si="36"/>
        <v>0</v>
      </c>
      <c r="M48" s="224">
        <f t="shared" si="36"/>
        <v>0</v>
      </c>
      <c r="N48" s="216"/>
      <c r="O48" s="216"/>
      <c r="P48" s="161">
        <v>33</v>
      </c>
      <c r="Q48" s="161">
        <f t="shared" si="2"/>
        <v>276.85000000000002</v>
      </c>
      <c r="R48" s="161">
        <f t="shared" si="25"/>
        <v>249.9</v>
      </c>
      <c r="S48" s="161">
        <f t="shared" si="26"/>
        <v>0</v>
      </c>
      <c r="T48" s="161">
        <f t="shared" si="27"/>
        <v>0</v>
      </c>
      <c r="U48" s="161">
        <f t="shared" si="28"/>
        <v>0</v>
      </c>
      <c r="V48" s="161">
        <f t="shared" si="29"/>
        <v>0</v>
      </c>
      <c r="W48" s="161">
        <f t="shared" si="30"/>
        <v>0</v>
      </c>
      <c r="X48" s="161">
        <f t="shared" si="31"/>
        <v>0</v>
      </c>
      <c r="Y48" s="161">
        <f t="shared" si="32"/>
        <v>0</v>
      </c>
      <c r="Z48" s="161">
        <f t="shared" si="33"/>
        <v>0</v>
      </c>
      <c r="AB48" s="168">
        <v>25</v>
      </c>
      <c r="AC48" s="213">
        <f t="shared" ca="1" si="11"/>
        <v>45910</v>
      </c>
      <c r="AD48" s="214">
        <f t="shared" si="6"/>
        <v>526.75</v>
      </c>
      <c r="AE48" s="168"/>
      <c r="AF48" s="168">
        <v>25</v>
      </c>
      <c r="AG48" s="213">
        <f t="shared" ca="1" si="12"/>
        <v>45910</v>
      </c>
      <c r="AH48" s="208">
        <f t="shared" si="13"/>
        <v>6</v>
      </c>
      <c r="AI48" s="215">
        <f t="shared" ca="1" si="7"/>
        <v>3.7600727791486799</v>
      </c>
      <c r="AJ48" s="168">
        <v>25</v>
      </c>
      <c r="AK48" s="213">
        <f t="shared" ca="1" si="14"/>
        <v>45910</v>
      </c>
      <c r="AL48" s="208">
        <f t="shared" si="15"/>
        <v>532.75</v>
      </c>
      <c r="AN48" s="168">
        <v>25</v>
      </c>
      <c r="AO48" s="189">
        <f t="shared" ca="1" si="8"/>
        <v>45910</v>
      </c>
      <c r="BC48" s="186" t="str">
        <f t="shared" si="9"/>
        <v>5GOV BAHIA</v>
      </c>
      <c r="BD48" s="186">
        <f t="shared" si="10"/>
        <v>5</v>
      </c>
      <c r="BE48" s="209" t="str">
        <f>'SIMULADOR COM SALDO'!BF47</f>
        <v>GOV BAHIA</v>
      </c>
      <c r="BF48" s="209" t="str">
        <f>'SIMULADOR COM SALDO'!BG47</f>
        <v>715365 - Tabela 5</v>
      </c>
      <c r="BG48" s="209">
        <f>'SIMULADOR COM SALDO'!BH47</f>
        <v>1.9E-2</v>
      </c>
      <c r="BH48" s="209">
        <f>'SIMULADOR COM SALDO'!BI47</f>
        <v>96</v>
      </c>
      <c r="BI48" s="209" t="str">
        <f>'SIMULADOR COM SALDO'!BJ47</f>
        <v/>
      </c>
      <c r="BJ48" s="209">
        <f>'SIMULADOR COM SALDO'!BK47</f>
        <v>2.2000000000000002</v>
      </c>
      <c r="BK48" s="209">
        <f>'SIMULADOR COM SALDO'!BL47</f>
        <v>10</v>
      </c>
      <c r="BL48" s="209">
        <f>'SIMULADOR COM SALDO'!BM47</f>
        <v>52</v>
      </c>
      <c r="BM48" s="209" t="str">
        <f>'SIMULADOR COM SALDO'!BN47</f>
        <v>RFN - GOV. BAHIA DIG PORTABILIDADE 5</v>
      </c>
      <c r="BN48" s="209" t="str">
        <f>'SIMULADOR COM SALDO'!BO47</f>
        <v>1,3</v>
      </c>
      <c r="BO48" s="209">
        <f>'SIMULADOR COM SALDO'!BP47</f>
        <v>1.3000000000000001E-2</v>
      </c>
      <c r="BP48" s="209">
        <f>'SIMULADOR COM SALDO'!BQ47</f>
        <v>2.3743017300567548E-2</v>
      </c>
      <c r="BQ48" s="209">
        <f>'SIMULADOR COM SALDO'!BR47</f>
        <v>2.2000000000000002E-2</v>
      </c>
      <c r="BR48" s="209">
        <f>'SIMULADOR COM SALDO'!BS47</f>
        <v>2.9999999999999997E-4</v>
      </c>
    </row>
    <row r="49" spans="2:70" hidden="1" x14ac:dyDescent="0.25">
      <c r="B49">
        <v>12</v>
      </c>
      <c r="C49" s="13">
        <f t="shared" ca="1" si="34"/>
        <v>45514</v>
      </c>
      <c r="D49" s="14">
        <f t="shared" ca="1" si="37"/>
        <v>223.50914354716653</v>
      </c>
      <c r="E49" s="14">
        <f t="shared" ca="1" si="36"/>
        <v>201.75161629921226</v>
      </c>
      <c r="F49" s="14">
        <f t="shared" si="36"/>
        <v>0</v>
      </c>
      <c r="G49" s="14">
        <f t="shared" si="36"/>
        <v>0</v>
      </c>
      <c r="H49" s="14">
        <f t="shared" si="36"/>
        <v>0</v>
      </c>
      <c r="I49" s="14">
        <f t="shared" si="36"/>
        <v>0</v>
      </c>
      <c r="J49" s="14">
        <f t="shared" si="36"/>
        <v>0</v>
      </c>
      <c r="K49" s="14">
        <f t="shared" si="36"/>
        <v>0</v>
      </c>
      <c r="L49" s="14">
        <f t="shared" si="36"/>
        <v>0</v>
      </c>
      <c r="M49" s="224">
        <f t="shared" si="36"/>
        <v>0</v>
      </c>
      <c r="N49" s="216"/>
      <c r="O49" s="216"/>
      <c r="P49" s="161">
        <v>34</v>
      </c>
      <c r="Q49" s="161">
        <f t="shared" si="2"/>
        <v>276.85000000000002</v>
      </c>
      <c r="R49" s="161">
        <f t="shared" si="25"/>
        <v>249.9</v>
      </c>
      <c r="S49" s="161">
        <f t="shared" si="26"/>
        <v>0</v>
      </c>
      <c r="T49" s="161">
        <f t="shared" si="27"/>
        <v>0</v>
      </c>
      <c r="U49" s="161">
        <f t="shared" si="28"/>
        <v>0</v>
      </c>
      <c r="V49" s="161">
        <f t="shared" si="29"/>
        <v>0</v>
      </c>
      <c r="W49" s="161">
        <f t="shared" si="30"/>
        <v>0</v>
      </c>
      <c r="X49" s="161">
        <f t="shared" si="31"/>
        <v>0</v>
      </c>
      <c r="Y49" s="161">
        <f t="shared" si="32"/>
        <v>0</v>
      </c>
      <c r="Z49" s="161">
        <f t="shared" si="33"/>
        <v>0</v>
      </c>
      <c r="AB49" s="168">
        <v>26</v>
      </c>
      <c r="AC49" s="213">
        <f t="shared" ca="1" si="11"/>
        <v>45940</v>
      </c>
      <c r="AD49" s="214">
        <f t="shared" si="6"/>
        <v>526.75</v>
      </c>
      <c r="AE49" s="168"/>
      <c r="AF49" s="168">
        <v>26</v>
      </c>
      <c r="AG49" s="213">
        <f t="shared" ca="1" si="12"/>
        <v>45940</v>
      </c>
      <c r="AH49" s="208">
        <f t="shared" si="13"/>
        <v>6</v>
      </c>
      <c r="AI49" s="215">
        <f t="shared" ca="1" si="7"/>
        <v>3.6896013925509572</v>
      </c>
      <c r="AJ49" s="168">
        <v>26</v>
      </c>
      <c r="AK49" s="213">
        <f t="shared" ca="1" si="14"/>
        <v>45940</v>
      </c>
      <c r="AL49" s="208">
        <f t="shared" si="15"/>
        <v>532.75</v>
      </c>
      <c r="AN49" s="168">
        <v>26</v>
      </c>
      <c r="AO49" s="189">
        <f t="shared" ca="1" si="8"/>
        <v>45940</v>
      </c>
      <c r="BC49" s="186" t="str">
        <f t="shared" si="9"/>
        <v>6GOV BAHIA</v>
      </c>
      <c r="BD49" s="186">
        <f t="shared" si="10"/>
        <v>6</v>
      </c>
      <c r="BE49" s="209" t="str">
        <f>'SIMULADOR COM SALDO'!BF48</f>
        <v>GOV BAHIA</v>
      </c>
      <c r="BF49" s="209" t="str">
        <f>'SIMULADOR COM SALDO'!BG48</f>
        <v>715366 - Tabela 6</v>
      </c>
      <c r="BG49" s="209">
        <f>'SIMULADOR COM SALDO'!BH48</f>
        <v>1.8500000000000003E-2</v>
      </c>
      <c r="BH49" s="209">
        <f>'SIMULADOR COM SALDO'!BI48</f>
        <v>96</v>
      </c>
      <c r="BI49" s="209" t="str">
        <f>'SIMULADOR COM SALDO'!BJ48</f>
        <v/>
      </c>
      <c r="BJ49" s="209">
        <f>'SIMULADOR COM SALDO'!BK48</f>
        <v>2.2000000000000002</v>
      </c>
      <c r="BK49" s="209">
        <f>'SIMULADOR COM SALDO'!BL48</f>
        <v>10</v>
      </c>
      <c r="BL49" s="209">
        <f>'SIMULADOR COM SALDO'!BM48</f>
        <v>52</v>
      </c>
      <c r="BM49" s="209" t="str">
        <f>'SIMULADOR COM SALDO'!BN48</f>
        <v>RFN - GOV. BAHIA DIG PORTABILIDADE 6</v>
      </c>
      <c r="BN49" s="209" t="str">
        <f>'SIMULADOR COM SALDO'!BO48</f>
        <v>1,3</v>
      </c>
      <c r="BO49" s="209">
        <f>'SIMULADOR COM SALDO'!BP48</f>
        <v>1.3000000000000001E-2</v>
      </c>
      <c r="BP49" s="209">
        <f>'SIMULADOR COM SALDO'!BQ48</f>
        <v>2.3330954470161609E-2</v>
      </c>
      <c r="BQ49" s="209">
        <f>'SIMULADOR COM SALDO'!BR48</f>
        <v>2.2000000000000002E-2</v>
      </c>
      <c r="BR49" s="209">
        <f>'SIMULADOR COM SALDO'!BS48</f>
        <v>2.9999999999999997E-4</v>
      </c>
    </row>
    <row r="50" spans="2:70" hidden="1" x14ac:dyDescent="0.25">
      <c r="B50">
        <v>13</v>
      </c>
      <c r="C50" s="13">
        <f t="shared" ca="1" si="34"/>
        <v>45545</v>
      </c>
      <c r="D50" s="14">
        <f t="shared" ca="1" si="37"/>
        <v>219.2518842101573</v>
      </c>
      <c r="E50" s="14">
        <f t="shared" ca="1" si="36"/>
        <v>197.90878043748711</v>
      </c>
      <c r="F50" s="14">
        <f t="shared" si="36"/>
        <v>0</v>
      </c>
      <c r="G50" s="14">
        <f t="shared" si="36"/>
        <v>0</v>
      </c>
      <c r="H50" s="14">
        <f t="shared" si="36"/>
        <v>0</v>
      </c>
      <c r="I50" s="14">
        <f t="shared" si="36"/>
        <v>0</v>
      </c>
      <c r="J50" s="14">
        <f t="shared" si="36"/>
        <v>0</v>
      </c>
      <c r="K50" s="14">
        <f t="shared" si="36"/>
        <v>0</v>
      </c>
      <c r="L50" s="14">
        <f t="shared" si="36"/>
        <v>0</v>
      </c>
      <c r="M50" s="224">
        <f t="shared" si="36"/>
        <v>0</v>
      </c>
      <c r="N50" s="216"/>
      <c r="O50" s="216"/>
      <c r="P50" s="161">
        <v>35</v>
      </c>
      <c r="Q50" s="161">
        <f t="shared" si="2"/>
        <v>276.85000000000002</v>
      </c>
      <c r="R50" s="161">
        <f t="shared" si="25"/>
        <v>249.9</v>
      </c>
      <c r="S50" s="161">
        <f t="shared" si="26"/>
        <v>0</v>
      </c>
      <c r="T50" s="161">
        <f t="shared" si="27"/>
        <v>0</v>
      </c>
      <c r="U50" s="161">
        <f t="shared" si="28"/>
        <v>0</v>
      </c>
      <c r="V50" s="161">
        <f t="shared" si="29"/>
        <v>0</v>
      </c>
      <c r="W50" s="161">
        <f t="shared" si="30"/>
        <v>0</v>
      </c>
      <c r="X50" s="161">
        <f t="shared" si="31"/>
        <v>0</v>
      </c>
      <c r="Y50" s="161">
        <f t="shared" si="32"/>
        <v>0</v>
      </c>
      <c r="Z50" s="161">
        <f t="shared" si="33"/>
        <v>0</v>
      </c>
      <c r="AB50" s="168">
        <v>27</v>
      </c>
      <c r="AC50" s="213">
        <f t="shared" ca="1" si="11"/>
        <v>45971</v>
      </c>
      <c r="AD50" s="214">
        <f t="shared" si="6"/>
        <v>526.75</v>
      </c>
      <c r="AE50" s="168"/>
      <c r="AF50" s="168">
        <v>27</v>
      </c>
      <c r="AG50" s="213">
        <f t="shared" ca="1" si="12"/>
        <v>45971</v>
      </c>
      <c r="AH50" s="208">
        <f t="shared" si="13"/>
        <v>6</v>
      </c>
      <c r="AI50" s="215">
        <f t="shared" ca="1" si="7"/>
        <v>3.618168218712289</v>
      </c>
      <c r="AJ50" s="168">
        <v>27</v>
      </c>
      <c r="AK50" s="213">
        <f t="shared" ca="1" si="14"/>
        <v>45971</v>
      </c>
      <c r="AL50" s="208">
        <f t="shared" si="15"/>
        <v>532.75</v>
      </c>
      <c r="AN50" s="168">
        <v>27</v>
      </c>
      <c r="AO50" s="189">
        <f t="shared" ca="1" si="8"/>
        <v>45971</v>
      </c>
      <c r="BC50" s="186" t="str">
        <f t="shared" si="9"/>
        <v>1GOV ES</v>
      </c>
      <c r="BD50" s="186">
        <f t="shared" si="10"/>
        <v>1</v>
      </c>
      <c r="BE50" s="209" t="str">
        <f>'SIMULADOR COM SALDO'!BF49</f>
        <v>GOV ES</v>
      </c>
      <c r="BF50" s="209" t="str">
        <f>'SIMULADOR COM SALDO'!BG49</f>
        <v>705181 - Tabela 1</v>
      </c>
      <c r="BG50" s="209">
        <f>'SIMULADOR COM SALDO'!BH49</f>
        <v>1.8000000000000002E-2</v>
      </c>
      <c r="BH50" s="209">
        <f>'SIMULADOR COM SALDO'!BI49</f>
        <v>120</v>
      </c>
      <c r="BI50" s="209" t="str">
        <f>'SIMULADOR COM SALDO'!BJ49</f>
        <v/>
      </c>
      <c r="BJ50" s="209">
        <f>'SIMULADOR COM SALDO'!BK49</f>
        <v>1.8</v>
      </c>
      <c r="BK50" s="209">
        <f>'SIMULADOR COM SALDO'!BL49</f>
        <v>20</v>
      </c>
      <c r="BL50" s="209">
        <f>'SIMULADOR COM SALDO'!BM49</f>
        <v>69</v>
      </c>
      <c r="BM50" s="209" t="str">
        <f>'SIMULADOR COM SALDO'!BN49</f>
        <v>RFN - GOV. ES DIG 1 PORTAB</v>
      </c>
      <c r="BN50" s="209" t="str">
        <f>'SIMULADOR COM SALDO'!BO49</f>
        <v>1,11</v>
      </c>
      <c r="BO50" s="209">
        <f>'SIMULADOR COM SALDO'!BP49</f>
        <v>1.11E-2</v>
      </c>
      <c r="BP50" s="209">
        <f>'SIMULADOR COM SALDO'!BQ49</f>
        <v>2.1506476799499862E-2</v>
      </c>
      <c r="BQ50" s="209">
        <f>'SIMULADOR COM SALDO'!BR49</f>
        <v>1.8000000000000002E-2</v>
      </c>
      <c r="BR50" s="209">
        <f>'SIMULADOR COM SALDO'!BS49</f>
        <v>2.9999999999999997E-4</v>
      </c>
    </row>
    <row r="51" spans="2:70" hidden="1" x14ac:dyDescent="0.25">
      <c r="B51">
        <v>14</v>
      </c>
      <c r="C51" s="13">
        <f t="shared" ca="1" si="34"/>
        <v>45575</v>
      </c>
      <c r="D51" s="14">
        <f t="shared" ca="1" si="37"/>
        <v>215.20917976821144</v>
      </c>
      <c r="E51" s="14">
        <f t="shared" ca="1" si="36"/>
        <v>194.25961359608465</v>
      </c>
      <c r="F51" s="14">
        <f t="shared" si="36"/>
        <v>0</v>
      </c>
      <c r="G51" s="14">
        <f t="shared" si="36"/>
        <v>0</v>
      </c>
      <c r="H51" s="14">
        <f t="shared" si="36"/>
        <v>0</v>
      </c>
      <c r="I51" s="14">
        <f t="shared" si="36"/>
        <v>0</v>
      </c>
      <c r="J51" s="14">
        <f t="shared" si="36"/>
        <v>0</v>
      </c>
      <c r="K51" s="14">
        <f t="shared" si="36"/>
        <v>0</v>
      </c>
      <c r="L51" s="14">
        <f t="shared" si="36"/>
        <v>0</v>
      </c>
      <c r="M51" s="224">
        <f t="shared" si="36"/>
        <v>0</v>
      </c>
      <c r="N51" s="216"/>
      <c r="O51" s="216"/>
      <c r="P51" s="161">
        <v>36</v>
      </c>
      <c r="Q51" s="161">
        <f t="shared" si="2"/>
        <v>276.85000000000002</v>
      </c>
      <c r="R51" s="161">
        <f t="shared" si="25"/>
        <v>249.9</v>
      </c>
      <c r="S51" s="161">
        <f t="shared" si="26"/>
        <v>0</v>
      </c>
      <c r="T51" s="161">
        <f t="shared" si="27"/>
        <v>0</v>
      </c>
      <c r="U51" s="161">
        <f t="shared" si="28"/>
        <v>0</v>
      </c>
      <c r="V51" s="161">
        <f t="shared" si="29"/>
        <v>0</v>
      </c>
      <c r="W51" s="161">
        <f t="shared" si="30"/>
        <v>0</v>
      </c>
      <c r="X51" s="161">
        <f t="shared" si="31"/>
        <v>0</v>
      </c>
      <c r="Y51" s="161">
        <f t="shared" si="32"/>
        <v>0</v>
      </c>
      <c r="Z51" s="161">
        <f t="shared" si="33"/>
        <v>0</v>
      </c>
      <c r="AB51" s="168">
        <v>28</v>
      </c>
      <c r="AC51" s="213">
        <f t="shared" ca="1" si="11"/>
        <v>46001</v>
      </c>
      <c r="AD51" s="214">
        <f t="shared" si="6"/>
        <v>526.75</v>
      </c>
      <c r="AE51" s="168"/>
      <c r="AF51" s="168">
        <v>28</v>
      </c>
      <c r="AG51" s="213">
        <f t="shared" ca="1" si="12"/>
        <v>46001</v>
      </c>
      <c r="AH51" s="208">
        <f t="shared" si="13"/>
        <v>6</v>
      </c>
      <c r="AI51" s="215">
        <f t="shared" ca="1" si="7"/>
        <v>3.5503564112572756</v>
      </c>
      <c r="AJ51" s="168">
        <v>28</v>
      </c>
      <c r="AK51" s="213">
        <f t="shared" ca="1" si="14"/>
        <v>46001</v>
      </c>
      <c r="AL51" s="208">
        <f t="shared" si="15"/>
        <v>532.75</v>
      </c>
      <c r="AN51" s="168">
        <v>28</v>
      </c>
      <c r="AO51" s="189">
        <f t="shared" ca="1" si="8"/>
        <v>46001</v>
      </c>
      <c r="BC51" s="186" t="str">
        <f t="shared" si="9"/>
        <v>2GOV ES</v>
      </c>
      <c r="BD51" s="186">
        <f t="shared" si="10"/>
        <v>2</v>
      </c>
      <c r="BE51" s="209" t="str">
        <f>'SIMULADOR COM SALDO'!BF50</f>
        <v>GOV ES</v>
      </c>
      <c r="BF51" s="209" t="str">
        <f>'SIMULADOR COM SALDO'!BG50</f>
        <v>705187 - Tabela 4</v>
      </c>
      <c r="BG51" s="209">
        <f>'SIMULADOR COM SALDO'!BH50</f>
        <v>1.66E-2</v>
      </c>
      <c r="BH51" s="209">
        <f>'SIMULADOR COM SALDO'!BI50</f>
        <v>120</v>
      </c>
      <c r="BI51" s="209" t="str">
        <f>'SIMULADOR COM SALDO'!BJ50</f>
        <v/>
      </c>
      <c r="BJ51" s="209">
        <f>'SIMULADOR COM SALDO'!BK50</f>
        <v>1.8</v>
      </c>
      <c r="BK51" s="209">
        <f>'SIMULADOR COM SALDO'!BL50</f>
        <v>20</v>
      </c>
      <c r="BL51" s="209">
        <f>'SIMULADOR COM SALDO'!BM50</f>
        <v>69</v>
      </c>
      <c r="BM51" s="209" t="str">
        <f>'SIMULADOR COM SALDO'!BN50</f>
        <v>RFN - GOV. ES DIG 4 PORTAB</v>
      </c>
      <c r="BN51" s="209" t="str">
        <f>'SIMULADOR COM SALDO'!BO50</f>
        <v>1,11</v>
      </c>
      <c r="BO51" s="209">
        <f>'SIMULADOR COM SALDO'!BP50</f>
        <v>1.11E-2</v>
      </c>
      <c r="BP51" s="209">
        <f>'SIMULADOR COM SALDO'!BQ50</f>
        <v>2.0283520198803775E-2</v>
      </c>
      <c r="BQ51" s="209">
        <f>'SIMULADOR COM SALDO'!BR50</f>
        <v>1.8000000000000002E-2</v>
      </c>
      <c r="BR51" s="209">
        <f>'SIMULADOR COM SALDO'!BS50</f>
        <v>2.9999999999999997E-4</v>
      </c>
    </row>
    <row r="52" spans="2:70" hidden="1" x14ac:dyDescent="0.25">
      <c r="B52">
        <v>15</v>
      </c>
      <c r="C52" s="13">
        <f t="shared" ca="1" si="34"/>
        <v>45606</v>
      </c>
      <c r="D52" s="14">
        <f t="shared" ca="1" si="37"/>
        <v>211.11001283732935</v>
      </c>
      <c r="E52" s="14">
        <f t="shared" ca="1" si="36"/>
        <v>190.55948061422649</v>
      </c>
      <c r="F52" s="14">
        <f t="shared" si="36"/>
        <v>0</v>
      </c>
      <c r="G52" s="14">
        <f t="shared" si="36"/>
        <v>0</v>
      </c>
      <c r="H52" s="14">
        <f t="shared" si="36"/>
        <v>0</v>
      </c>
      <c r="I52" s="14">
        <f t="shared" si="36"/>
        <v>0</v>
      </c>
      <c r="J52" s="14">
        <f t="shared" si="36"/>
        <v>0</v>
      </c>
      <c r="K52" s="14">
        <f t="shared" si="36"/>
        <v>0</v>
      </c>
      <c r="L52" s="14">
        <f t="shared" si="36"/>
        <v>0</v>
      </c>
      <c r="M52" s="224">
        <f t="shared" si="36"/>
        <v>0</v>
      </c>
      <c r="N52" s="216"/>
      <c r="O52" s="216"/>
      <c r="P52" s="161">
        <v>37</v>
      </c>
      <c r="Q52" s="161">
        <f t="shared" si="2"/>
        <v>276.85000000000002</v>
      </c>
      <c r="R52" s="161">
        <f t="shared" si="25"/>
        <v>249.9</v>
      </c>
      <c r="S52" s="161">
        <f t="shared" si="26"/>
        <v>0</v>
      </c>
      <c r="T52" s="161">
        <f t="shared" si="27"/>
        <v>0</v>
      </c>
      <c r="U52" s="161">
        <f t="shared" si="28"/>
        <v>0</v>
      </c>
      <c r="V52" s="161">
        <f t="shared" si="29"/>
        <v>0</v>
      </c>
      <c r="W52" s="161">
        <f t="shared" si="30"/>
        <v>0</v>
      </c>
      <c r="X52" s="161">
        <f t="shared" si="31"/>
        <v>0</v>
      </c>
      <c r="Y52" s="161">
        <f t="shared" si="32"/>
        <v>0</v>
      </c>
      <c r="Z52" s="161">
        <f t="shared" si="33"/>
        <v>0</v>
      </c>
      <c r="AB52" s="168">
        <v>29</v>
      </c>
      <c r="AC52" s="213">
        <f t="shared" ca="1" si="11"/>
        <v>46032</v>
      </c>
      <c r="AD52" s="214">
        <f t="shared" si="6"/>
        <v>526.75</v>
      </c>
      <c r="AE52" s="168"/>
      <c r="AF52" s="168">
        <v>29</v>
      </c>
      <c r="AG52" s="213">
        <f t="shared" ca="1" si="12"/>
        <v>46032</v>
      </c>
      <c r="AH52" s="208">
        <f t="shared" si="13"/>
        <v>6</v>
      </c>
      <c r="AI52" s="215">
        <f t="shared" ca="1" si="7"/>
        <v>3.481619114261834</v>
      </c>
      <c r="AJ52" s="168">
        <v>29</v>
      </c>
      <c r="AK52" s="213">
        <f t="shared" ca="1" si="14"/>
        <v>46032</v>
      </c>
      <c r="AL52" s="208">
        <f t="shared" si="15"/>
        <v>532.75</v>
      </c>
      <c r="AN52" s="168">
        <v>29</v>
      </c>
      <c r="AO52" s="189">
        <f t="shared" ca="1" si="8"/>
        <v>46032</v>
      </c>
      <c r="BC52" s="186" t="str">
        <f t="shared" si="9"/>
        <v>1GOV GO</v>
      </c>
      <c r="BD52" s="186">
        <f t="shared" si="10"/>
        <v>1</v>
      </c>
      <c r="BE52" s="209" t="str">
        <f>'SIMULADOR COM SALDO'!BF51</f>
        <v>GOV GO</v>
      </c>
      <c r="BF52" s="209" t="str">
        <f>'SIMULADOR COM SALDO'!BG51</f>
        <v>745106 - Tabela 1</v>
      </c>
      <c r="BG52" s="209">
        <f>'SIMULADOR COM SALDO'!BH51</f>
        <v>2.12E-2</v>
      </c>
      <c r="BH52" s="209">
        <f>'SIMULADOR COM SALDO'!BI51</f>
        <v>96</v>
      </c>
      <c r="BI52" s="209" t="str">
        <f>'SIMULADOR COM SALDO'!BJ51</f>
        <v/>
      </c>
      <c r="BJ52" s="209">
        <f>'SIMULADOR COM SALDO'!BK51</f>
        <v>2.12</v>
      </c>
      <c r="BK52" s="209">
        <f>'SIMULADOR COM SALDO'!BL51</f>
        <v>10</v>
      </c>
      <c r="BL52" s="209">
        <f>'SIMULADOR COM SALDO'!BM51</f>
        <v>54</v>
      </c>
      <c r="BM52" s="209" t="str">
        <f>'SIMULADOR COM SALDO'!BN51</f>
        <v>RFN - GOV. GOIAS 1 DIG PORTAB</v>
      </c>
      <c r="BN52" s="209" t="str">
        <f>'SIMULADOR COM SALDO'!BO51</f>
        <v>1,87</v>
      </c>
      <c r="BO52" s="209">
        <f>'SIMULADOR COM SALDO'!BP51</f>
        <v>1.8700000000000001E-2</v>
      </c>
      <c r="BP52" s="209">
        <f>'SIMULADOR COM SALDO'!BQ51</f>
        <v>2.5629879201284449E-2</v>
      </c>
      <c r="BQ52" s="209">
        <f>'SIMULADOR COM SALDO'!BR51</f>
        <v>2.12E-2</v>
      </c>
      <c r="BR52" s="209">
        <f>'SIMULADOR COM SALDO'!BS51</f>
        <v>2.9999999999999997E-4</v>
      </c>
    </row>
    <row r="53" spans="2:70" hidden="1" x14ac:dyDescent="0.25">
      <c r="B53">
        <v>16</v>
      </c>
      <c r="C53" s="13">
        <f t="shared" ca="1" si="34"/>
        <v>45636</v>
      </c>
      <c r="D53" s="14">
        <f t="shared" ca="1" si="37"/>
        <v>207.21743335181549</v>
      </c>
      <c r="E53" s="14">
        <f t="shared" ca="1" si="36"/>
        <v>187.04582479544405</v>
      </c>
      <c r="F53" s="14">
        <f t="shared" si="36"/>
        <v>0</v>
      </c>
      <c r="G53" s="14">
        <f t="shared" si="36"/>
        <v>0</v>
      </c>
      <c r="H53" s="14">
        <f t="shared" si="36"/>
        <v>0</v>
      </c>
      <c r="I53" s="14">
        <f t="shared" si="36"/>
        <v>0</v>
      </c>
      <c r="J53" s="14">
        <f t="shared" si="36"/>
        <v>0</v>
      </c>
      <c r="K53" s="14">
        <f t="shared" si="36"/>
        <v>0</v>
      </c>
      <c r="L53" s="14">
        <f t="shared" si="36"/>
        <v>0</v>
      </c>
      <c r="M53" s="224">
        <f t="shared" si="36"/>
        <v>0</v>
      </c>
      <c r="N53" s="216"/>
      <c r="O53" s="216"/>
      <c r="P53" s="161">
        <v>38</v>
      </c>
      <c r="Q53" s="161">
        <f t="shared" si="2"/>
        <v>276.85000000000002</v>
      </c>
      <c r="R53" s="161">
        <f t="shared" si="25"/>
        <v>249.9</v>
      </c>
      <c r="S53" s="161">
        <f t="shared" si="26"/>
        <v>0</v>
      </c>
      <c r="T53" s="161">
        <f t="shared" si="27"/>
        <v>0</v>
      </c>
      <c r="U53" s="161">
        <f t="shared" si="28"/>
        <v>0</v>
      </c>
      <c r="V53" s="161">
        <f t="shared" si="29"/>
        <v>0</v>
      </c>
      <c r="W53" s="161">
        <f t="shared" si="30"/>
        <v>0</v>
      </c>
      <c r="X53" s="161">
        <f t="shared" si="31"/>
        <v>0</v>
      </c>
      <c r="Y53" s="161">
        <f t="shared" si="32"/>
        <v>0</v>
      </c>
      <c r="Z53" s="161">
        <f t="shared" si="33"/>
        <v>0</v>
      </c>
      <c r="AB53" s="168">
        <v>30</v>
      </c>
      <c r="AC53" s="213">
        <f t="shared" ca="1" si="11"/>
        <v>46063</v>
      </c>
      <c r="AD53" s="214">
        <f t="shared" si="6"/>
        <v>526.75</v>
      </c>
      <c r="AE53" s="168"/>
      <c r="AF53" s="168">
        <v>30</v>
      </c>
      <c r="AG53" s="213">
        <f t="shared" ca="1" si="12"/>
        <v>46063</v>
      </c>
      <c r="AH53" s="208">
        <f t="shared" si="13"/>
        <v>6</v>
      </c>
      <c r="AI53" s="215">
        <f t="shared" ca="1" si="7"/>
        <v>3.4142126177413128</v>
      </c>
      <c r="AJ53" s="168">
        <v>30</v>
      </c>
      <c r="AK53" s="213">
        <f t="shared" ca="1" si="14"/>
        <v>46063</v>
      </c>
      <c r="AL53" s="208">
        <f t="shared" si="15"/>
        <v>532.75</v>
      </c>
      <c r="AN53" s="168">
        <v>30</v>
      </c>
      <c r="AO53" s="189">
        <f t="shared" ca="1" si="8"/>
        <v>46063</v>
      </c>
      <c r="BC53" s="186" t="str">
        <f t="shared" si="9"/>
        <v>1GOV MA</v>
      </c>
      <c r="BD53" s="186">
        <f t="shared" si="10"/>
        <v>1</v>
      </c>
      <c r="BE53" s="209" t="str">
        <f>'SIMULADOR COM SALDO'!BF52</f>
        <v>GOV MA</v>
      </c>
      <c r="BF53" s="209" t="str">
        <f>'SIMULADOR COM SALDO'!BG52</f>
        <v>785041 - Tabela 1</v>
      </c>
      <c r="BG53" s="209">
        <f>'SIMULADOR COM SALDO'!BH52</f>
        <v>2.2700000000000001E-2</v>
      </c>
      <c r="BH53" s="209">
        <f>'SIMULADOR COM SALDO'!BI52</f>
        <v>120</v>
      </c>
      <c r="BI53" s="209" t="str">
        <f>'SIMULADOR COM SALDO'!BJ52</f>
        <v/>
      </c>
      <c r="BJ53" s="209">
        <f>'SIMULADOR COM SALDO'!BK52</f>
        <v>2.2999999999999998</v>
      </c>
      <c r="BK53" s="209">
        <f>'SIMULADOR COM SALDO'!BL52</f>
        <v>15</v>
      </c>
      <c r="BL53" s="209">
        <f>'SIMULADOR COM SALDO'!BM52</f>
        <v>59</v>
      </c>
      <c r="BM53" s="209" t="str">
        <f>'SIMULADOR COM SALDO'!BN52</f>
        <v>RFN - GOV. MARANHAO DIG 1 PORTABILIDADE</v>
      </c>
      <c r="BN53" s="209" t="str">
        <f>'SIMULADOR COM SALDO'!BO52</f>
        <v>1,7</v>
      </c>
      <c r="BO53" s="209">
        <f>'SIMULADOR COM SALDO'!BP52</f>
        <v>1.7000000000000001E-2</v>
      </c>
      <c r="BP53" s="209">
        <f>'SIMULADOR COM SALDO'!BQ52</f>
        <v>2.5631548781435979E-2</v>
      </c>
      <c r="BQ53" s="209">
        <f>'SIMULADOR COM SALDO'!BR52</f>
        <v>2.3E-2</v>
      </c>
      <c r="BR53" s="209">
        <f>'SIMULADOR COM SALDO'!BS52</f>
        <v>2.9999999999999997E-4</v>
      </c>
    </row>
    <row r="54" spans="2:70" hidden="1" x14ac:dyDescent="0.25">
      <c r="B54">
        <v>17</v>
      </c>
      <c r="C54" s="13">
        <f t="shared" ca="1" si="34"/>
        <v>45667</v>
      </c>
      <c r="D54" s="14">
        <f t="shared" ca="1" si="37"/>
        <v>203.27048809969904</v>
      </c>
      <c r="E54" s="14">
        <f t="shared" ref="E54:M69" ca="1" si="38">IF($B54&lt;=E$20,E$17/(($C$36+1)^(($C54-$C$37)/30)),0)</f>
        <v>183.48309545282567</v>
      </c>
      <c r="F54" s="14">
        <f t="shared" si="38"/>
        <v>0</v>
      </c>
      <c r="G54" s="14">
        <f t="shared" si="38"/>
        <v>0</v>
      </c>
      <c r="H54" s="14">
        <f t="shared" si="38"/>
        <v>0</v>
      </c>
      <c r="I54" s="14">
        <f t="shared" si="38"/>
        <v>0</v>
      </c>
      <c r="J54" s="14">
        <f t="shared" si="38"/>
        <v>0</v>
      </c>
      <c r="K54" s="14">
        <f t="shared" si="38"/>
        <v>0</v>
      </c>
      <c r="L54" s="14">
        <f t="shared" si="38"/>
        <v>0</v>
      </c>
      <c r="M54" s="224">
        <f t="shared" si="38"/>
        <v>0</v>
      </c>
      <c r="N54" s="216"/>
      <c r="O54" s="216"/>
      <c r="P54" s="161">
        <v>39</v>
      </c>
      <c r="Q54" s="161">
        <f t="shared" si="2"/>
        <v>276.85000000000002</v>
      </c>
      <c r="R54" s="161">
        <f t="shared" si="25"/>
        <v>249.9</v>
      </c>
      <c r="S54" s="161">
        <f t="shared" si="26"/>
        <v>0</v>
      </c>
      <c r="T54" s="161">
        <f t="shared" si="27"/>
        <v>0</v>
      </c>
      <c r="U54" s="161">
        <f t="shared" si="28"/>
        <v>0</v>
      </c>
      <c r="V54" s="161">
        <f t="shared" si="29"/>
        <v>0</v>
      </c>
      <c r="W54" s="161">
        <f t="shared" si="30"/>
        <v>0</v>
      </c>
      <c r="X54" s="161">
        <f t="shared" si="31"/>
        <v>0</v>
      </c>
      <c r="Y54" s="161">
        <f t="shared" si="32"/>
        <v>0</v>
      </c>
      <c r="Z54" s="161">
        <f t="shared" si="33"/>
        <v>0</v>
      </c>
      <c r="AB54" s="168">
        <v>31</v>
      </c>
      <c r="AC54" s="213">
        <f t="shared" ca="1" si="11"/>
        <v>46091</v>
      </c>
      <c r="AD54" s="214">
        <f t="shared" si="6"/>
        <v>526.75</v>
      </c>
      <c r="AE54" s="168"/>
      <c r="AF54" s="168">
        <v>31</v>
      </c>
      <c r="AG54" s="213">
        <f t="shared" ca="1" si="12"/>
        <v>46091</v>
      </c>
      <c r="AH54" s="208">
        <f t="shared" si="13"/>
        <v>6</v>
      </c>
      <c r="AI54" s="215">
        <f t="shared" ca="1" si="7"/>
        <v>3.3544517405200942</v>
      </c>
      <c r="AJ54" s="168">
        <v>31</v>
      </c>
      <c r="AK54" s="213">
        <f t="shared" ca="1" si="14"/>
        <v>46091</v>
      </c>
      <c r="AL54" s="208">
        <f t="shared" si="15"/>
        <v>532.75</v>
      </c>
      <c r="AN54" s="168">
        <v>31</v>
      </c>
      <c r="AO54" s="189">
        <f t="shared" ca="1" si="8"/>
        <v>46091</v>
      </c>
      <c r="BC54" s="186" t="str">
        <f t="shared" si="9"/>
        <v>2GOV MA</v>
      </c>
      <c r="BD54" s="186">
        <f t="shared" si="10"/>
        <v>2</v>
      </c>
      <c r="BE54" s="209" t="str">
        <f>'SIMULADOR COM SALDO'!BF53</f>
        <v>GOV MA</v>
      </c>
      <c r="BF54" s="209" t="str">
        <f>'SIMULADOR COM SALDO'!BG53</f>
        <v>785042 - Tabela 2</v>
      </c>
      <c r="BG54" s="209">
        <f>'SIMULADOR COM SALDO'!BH53</f>
        <v>2.1700000000000001E-2</v>
      </c>
      <c r="BH54" s="209">
        <f>'SIMULADOR COM SALDO'!BI53</f>
        <v>120</v>
      </c>
      <c r="BI54" s="209" t="str">
        <f>'SIMULADOR COM SALDO'!BJ53</f>
        <v/>
      </c>
      <c r="BJ54" s="209">
        <f>'SIMULADOR COM SALDO'!BK53</f>
        <v>2.2999999999999998</v>
      </c>
      <c r="BK54" s="209">
        <f>'SIMULADOR COM SALDO'!BL53</f>
        <v>15</v>
      </c>
      <c r="BL54" s="209">
        <f>'SIMULADOR COM SALDO'!BM53</f>
        <v>53</v>
      </c>
      <c r="BM54" s="209" t="str">
        <f>'SIMULADOR COM SALDO'!BN53</f>
        <v>RFN - GOV. MARANHAO DIG 2 PORTABILIDADE</v>
      </c>
      <c r="BN54" s="209" t="str">
        <f>'SIMULADOR COM SALDO'!BO53</f>
        <v>1,7</v>
      </c>
      <c r="BO54" s="209">
        <f>'SIMULADOR COM SALDO'!BP53</f>
        <v>1.7000000000000001E-2</v>
      </c>
      <c r="BP54" s="209">
        <f>'SIMULADOR COM SALDO'!BQ53</f>
        <v>2.4596640892077366E-2</v>
      </c>
      <c r="BQ54" s="209">
        <f>'SIMULADOR COM SALDO'!BR53</f>
        <v>2.3E-2</v>
      </c>
      <c r="BR54" s="209">
        <f>'SIMULADOR COM SALDO'!BS53</f>
        <v>2.9999999999999997E-4</v>
      </c>
    </row>
    <row r="55" spans="2:70" hidden="1" x14ac:dyDescent="0.25">
      <c r="B55">
        <v>18</v>
      </c>
      <c r="C55" s="13">
        <f t="shared" ca="1" si="34"/>
        <v>45698</v>
      </c>
      <c r="D55" s="14">
        <f t="shared" ca="1" si="37"/>
        <v>199.39872173852439</v>
      </c>
      <c r="E55" s="14">
        <f t="shared" ca="1" si="38"/>
        <v>179.98822670203086</v>
      </c>
      <c r="F55" s="14">
        <f t="shared" si="38"/>
        <v>0</v>
      </c>
      <c r="G55" s="14">
        <f t="shared" si="38"/>
        <v>0</v>
      </c>
      <c r="H55" s="14">
        <f t="shared" si="38"/>
        <v>0</v>
      </c>
      <c r="I55" s="14">
        <f t="shared" si="38"/>
        <v>0</v>
      </c>
      <c r="J55" s="14">
        <f t="shared" si="38"/>
        <v>0</v>
      </c>
      <c r="K55" s="14">
        <f t="shared" si="38"/>
        <v>0</v>
      </c>
      <c r="L55" s="14">
        <f t="shared" si="38"/>
        <v>0</v>
      </c>
      <c r="M55" s="224">
        <f t="shared" si="38"/>
        <v>0</v>
      </c>
      <c r="N55" s="216"/>
      <c r="O55" s="216"/>
      <c r="P55" s="161">
        <v>40</v>
      </c>
      <c r="Q55" s="161">
        <f t="shared" si="2"/>
        <v>276.85000000000002</v>
      </c>
      <c r="R55" s="161">
        <f t="shared" si="25"/>
        <v>249.9</v>
      </c>
      <c r="S55" s="161">
        <f t="shared" si="26"/>
        <v>0</v>
      </c>
      <c r="T55" s="161">
        <f t="shared" si="27"/>
        <v>0</v>
      </c>
      <c r="U55" s="161">
        <f t="shared" si="28"/>
        <v>0</v>
      </c>
      <c r="V55" s="161">
        <f t="shared" si="29"/>
        <v>0</v>
      </c>
      <c r="W55" s="161">
        <f t="shared" si="30"/>
        <v>0</v>
      </c>
      <c r="X55" s="161">
        <f t="shared" si="31"/>
        <v>0</v>
      </c>
      <c r="Y55" s="161">
        <f t="shared" si="32"/>
        <v>0</v>
      </c>
      <c r="Z55" s="161">
        <f t="shared" si="33"/>
        <v>0</v>
      </c>
      <c r="AB55" s="168">
        <v>32</v>
      </c>
      <c r="AC55" s="213">
        <f t="shared" ca="1" si="11"/>
        <v>46122</v>
      </c>
      <c r="AD55" s="214">
        <f t="shared" si="6"/>
        <v>526.75</v>
      </c>
      <c r="AE55" s="168"/>
      <c r="AF55" s="168">
        <v>32</v>
      </c>
      <c r="AG55" s="213">
        <f t="shared" ca="1" si="12"/>
        <v>46122</v>
      </c>
      <c r="AH55" s="208">
        <f t="shared" si="13"/>
        <v>6</v>
      </c>
      <c r="AI55" s="215">
        <f t="shared" ca="1" si="7"/>
        <v>3.289507290206906</v>
      </c>
      <c r="AJ55" s="168">
        <v>32</v>
      </c>
      <c r="AK55" s="213">
        <f t="shared" ca="1" si="14"/>
        <v>46122</v>
      </c>
      <c r="AL55" s="208">
        <f t="shared" si="15"/>
        <v>532.75</v>
      </c>
      <c r="AN55" s="168">
        <v>32</v>
      </c>
      <c r="AO55" s="189">
        <f t="shared" ca="1" si="8"/>
        <v>46122</v>
      </c>
      <c r="BC55" s="186" t="str">
        <f t="shared" si="9"/>
        <v>3GOV MA</v>
      </c>
      <c r="BD55" s="186">
        <f t="shared" si="10"/>
        <v>3</v>
      </c>
      <c r="BE55" s="209" t="str">
        <f>'SIMULADOR COM SALDO'!BF54</f>
        <v>GOV MA</v>
      </c>
      <c r="BF55" s="209" t="str">
        <f>'SIMULADOR COM SALDO'!BG54</f>
        <v>785043 - Tabela 3</v>
      </c>
      <c r="BG55" s="209">
        <f>'SIMULADOR COM SALDO'!BH54</f>
        <v>2.07E-2</v>
      </c>
      <c r="BH55" s="209">
        <f>'SIMULADOR COM SALDO'!BI54</f>
        <v>120</v>
      </c>
      <c r="BI55" s="209" t="str">
        <f>'SIMULADOR COM SALDO'!BJ54</f>
        <v/>
      </c>
      <c r="BJ55" s="209">
        <f>'SIMULADOR COM SALDO'!BK54</f>
        <v>2.2999999999999998</v>
      </c>
      <c r="BK55" s="209">
        <f>'SIMULADOR COM SALDO'!BL54</f>
        <v>15</v>
      </c>
      <c r="BL55" s="209">
        <f>'SIMULADOR COM SALDO'!BM54</f>
        <v>53</v>
      </c>
      <c r="BM55" s="209" t="str">
        <f>'SIMULADOR COM SALDO'!BN54</f>
        <v>RFN - GOV. MARANHAO DIG 3 PORTABILIDADE</v>
      </c>
      <c r="BN55" s="209" t="str">
        <f>'SIMULADOR COM SALDO'!BO54</f>
        <v>1,7</v>
      </c>
      <c r="BO55" s="209">
        <f>'SIMULADOR COM SALDO'!BP54</f>
        <v>1.7000000000000001E-2</v>
      </c>
      <c r="BP55" s="209">
        <f>'SIMULADOR COM SALDO'!BQ54</f>
        <v>2.3688728419064935E-2</v>
      </c>
      <c r="BQ55" s="209">
        <f>'SIMULADOR COM SALDO'!BR54</f>
        <v>2.3E-2</v>
      </c>
      <c r="BR55" s="209">
        <f>'SIMULADOR COM SALDO'!BS54</f>
        <v>2.9999999999999997E-4</v>
      </c>
    </row>
    <row r="56" spans="2:70" hidden="1" x14ac:dyDescent="0.25">
      <c r="B56">
        <v>19</v>
      </c>
      <c r="C56" s="13">
        <f t="shared" ca="1" si="34"/>
        <v>45726</v>
      </c>
      <c r="D56" s="14">
        <f t="shared" ca="1" si="37"/>
        <v>195.96506865734611</v>
      </c>
      <c r="E56" s="14">
        <f t="shared" ca="1" si="38"/>
        <v>176.88882303583452</v>
      </c>
      <c r="F56" s="14">
        <f t="shared" si="38"/>
        <v>0</v>
      </c>
      <c r="G56" s="14">
        <f t="shared" si="38"/>
        <v>0</v>
      </c>
      <c r="H56" s="14">
        <f t="shared" si="38"/>
        <v>0</v>
      </c>
      <c r="I56" s="14">
        <f t="shared" si="38"/>
        <v>0</v>
      </c>
      <c r="J56" s="14">
        <f t="shared" si="38"/>
        <v>0</v>
      </c>
      <c r="K56" s="14">
        <f t="shared" si="38"/>
        <v>0</v>
      </c>
      <c r="L56" s="14">
        <f t="shared" si="38"/>
        <v>0</v>
      </c>
      <c r="M56" s="224">
        <f t="shared" si="38"/>
        <v>0</v>
      </c>
      <c r="N56" s="216"/>
      <c r="O56" s="216"/>
      <c r="P56" s="161">
        <v>41</v>
      </c>
      <c r="Q56" s="161">
        <f t="shared" si="2"/>
        <v>276.85000000000002</v>
      </c>
      <c r="R56" s="161">
        <f t="shared" si="25"/>
        <v>249.9</v>
      </c>
      <c r="S56" s="161">
        <f t="shared" si="26"/>
        <v>0</v>
      </c>
      <c r="T56" s="161">
        <f t="shared" si="27"/>
        <v>0</v>
      </c>
      <c r="U56" s="161">
        <f t="shared" si="28"/>
        <v>0</v>
      </c>
      <c r="V56" s="161">
        <f t="shared" si="29"/>
        <v>0</v>
      </c>
      <c r="W56" s="161">
        <f t="shared" si="30"/>
        <v>0</v>
      </c>
      <c r="X56" s="161">
        <f t="shared" si="31"/>
        <v>0</v>
      </c>
      <c r="Y56" s="161">
        <f t="shared" si="32"/>
        <v>0</v>
      </c>
      <c r="Z56" s="161">
        <f t="shared" si="33"/>
        <v>0</v>
      </c>
      <c r="AB56" s="168">
        <v>33</v>
      </c>
      <c r="AC56" s="213">
        <f t="shared" ca="1" si="11"/>
        <v>46152</v>
      </c>
      <c r="AD56" s="214">
        <f t="shared" ref="AD56:AD87" si="39">SUM(Q48:Z48)</f>
        <v>526.75</v>
      </c>
      <c r="AE56" s="168"/>
      <c r="AF56" s="168">
        <v>33</v>
      </c>
      <c r="AG56" s="213">
        <f t="shared" ca="1" si="12"/>
        <v>46152</v>
      </c>
      <c r="AH56" s="208">
        <f t="shared" si="13"/>
        <v>6</v>
      </c>
      <c r="AI56" s="215">
        <f t="shared" ref="AI56:AI87" ca="1" si="40">AH56/(1+$AH$20)^((AG56-$AG$23)/30)</f>
        <v>3.2278552548394726</v>
      </c>
      <c r="AJ56" s="168">
        <v>33</v>
      </c>
      <c r="AK56" s="213">
        <f t="shared" ca="1" si="14"/>
        <v>46152</v>
      </c>
      <c r="AL56" s="208">
        <f t="shared" si="15"/>
        <v>532.75</v>
      </c>
      <c r="AN56" s="168">
        <v>33</v>
      </c>
      <c r="AO56" s="189">
        <f t="shared" ca="1" si="8"/>
        <v>46152</v>
      </c>
      <c r="BC56" s="186" t="str">
        <f t="shared" ref="BC56:BC87" si="41">CONCATENATE(BD56,BE56)</f>
        <v>4GOV MA</v>
      </c>
      <c r="BD56" s="186">
        <f t="shared" ref="BD56:BD87" si="42">IF(BE56=BE55,BD55+1,1)</f>
        <v>4</v>
      </c>
      <c r="BE56" s="209" t="str">
        <f>'SIMULADOR COM SALDO'!BF55</f>
        <v>GOV MA</v>
      </c>
      <c r="BF56" s="209" t="str">
        <f>'SIMULADOR COM SALDO'!BG55</f>
        <v>785044 - Tabela 4</v>
      </c>
      <c r="BG56" s="209">
        <f>'SIMULADOR COM SALDO'!BH55</f>
        <v>1.9699999999999999E-2</v>
      </c>
      <c r="BH56" s="209">
        <f>'SIMULADOR COM SALDO'!BI55</f>
        <v>120</v>
      </c>
      <c r="BI56" s="209" t="str">
        <f>'SIMULADOR COM SALDO'!BJ55</f>
        <v/>
      </c>
      <c r="BJ56" s="209">
        <f>'SIMULADOR COM SALDO'!BK55</f>
        <v>2.2999999999999998</v>
      </c>
      <c r="BK56" s="209">
        <f>'SIMULADOR COM SALDO'!BL55</f>
        <v>15</v>
      </c>
      <c r="BL56" s="209">
        <f>'SIMULADOR COM SALDO'!BM55</f>
        <v>53</v>
      </c>
      <c r="BM56" s="209" t="str">
        <f>'SIMULADOR COM SALDO'!BN55</f>
        <v>RFN - GOV. MARANHAO DIG 4 PORTABILIDADE</v>
      </c>
      <c r="BN56" s="209" t="str">
        <f>'SIMULADOR COM SALDO'!BO55</f>
        <v>1,7</v>
      </c>
      <c r="BO56" s="209">
        <f>'SIMULADOR COM SALDO'!BP55</f>
        <v>1.7000000000000001E-2</v>
      </c>
      <c r="BP56" s="209">
        <f>'SIMULADOR COM SALDO'!BQ55</f>
        <v>2.2793585140624399E-2</v>
      </c>
      <c r="BQ56" s="209">
        <f>'SIMULADOR COM SALDO'!BR55</f>
        <v>2.3E-2</v>
      </c>
      <c r="BR56" s="209">
        <f>'SIMULADOR COM SALDO'!BS55</f>
        <v>2.9999999999999997E-4</v>
      </c>
    </row>
    <row r="57" spans="2:70" hidden="1" x14ac:dyDescent="0.25">
      <c r="B57">
        <v>20</v>
      </c>
      <c r="C57" s="13">
        <f t="shared" ca="1" si="34"/>
        <v>45757</v>
      </c>
      <c r="D57" s="14">
        <f t="shared" ca="1" si="37"/>
        <v>192.23245125731972</v>
      </c>
      <c r="E57" s="14">
        <f t="shared" ca="1" si="38"/>
        <v>173.51955777209389</v>
      </c>
      <c r="F57" s="14">
        <f t="shared" si="38"/>
        <v>0</v>
      </c>
      <c r="G57" s="14">
        <f t="shared" si="38"/>
        <v>0</v>
      </c>
      <c r="H57" s="14">
        <f t="shared" si="38"/>
        <v>0</v>
      </c>
      <c r="I57" s="14">
        <f t="shared" si="38"/>
        <v>0</v>
      </c>
      <c r="J57" s="14">
        <f t="shared" si="38"/>
        <v>0</v>
      </c>
      <c r="K57" s="14">
        <f t="shared" si="38"/>
        <v>0</v>
      </c>
      <c r="L57" s="14">
        <f t="shared" si="38"/>
        <v>0</v>
      </c>
      <c r="M57" s="224">
        <f t="shared" si="38"/>
        <v>0</v>
      </c>
      <c r="N57" s="216"/>
      <c r="O57" s="216"/>
      <c r="P57" s="161">
        <v>42</v>
      </c>
      <c r="Q57" s="161">
        <f t="shared" si="2"/>
        <v>276.85000000000002</v>
      </c>
      <c r="R57" s="161">
        <f t="shared" si="25"/>
        <v>249.9</v>
      </c>
      <c r="S57" s="161">
        <f t="shared" si="26"/>
        <v>0</v>
      </c>
      <c r="T57" s="161">
        <f t="shared" si="27"/>
        <v>0</v>
      </c>
      <c r="U57" s="161">
        <f t="shared" si="28"/>
        <v>0</v>
      </c>
      <c r="V57" s="161">
        <f t="shared" si="29"/>
        <v>0</v>
      </c>
      <c r="W57" s="161">
        <f t="shared" si="30"/>
        <v>0</v>
      </c>
      <c r="X57" s="161">
        <f t="shared" si="31"/>
        <v>0</v>
      </c>
      <c r="Y57" s="161">
        <f t="shared" si="32"/>
        <v>0</v>
      </c>
      <c r="Z57" s="161">
        <f t="shared" si="33"/>
        <v>0</v>
      </c>
      <c r="AB57" s="168">
        <v>34</v>
      </c>
      <c r="AC57" s="213">
        <f t="shared" ref="AC57:AC88" ca="1" si="43">EDATE(AC56,1)</f>
        <v>46183</v>
      </c>
      <c r="AD57" s="214">
        <f t="shared" si="39"/>
        <v>526.75</v>
      </c>
      <c r="AE57" s="168"/>
      <c r="AF57" s="168">
        <v>34</v>
      </c>
      <c r="AG57" s="213">
        <f t="shared" ref="AG57:AG88" ca="1" si="44">EDATE(AG56,1)</f>
        <v>46183</v>
      </c>
      <c r="AH57" s="208">
        <f t="shared" si="13"/>
        <v>6</v>
      </c>
      <c r="AI57" s="215">
        <f t="shared" ca="1" si="40"/>
        <v>3.1653617979553439</v>
      </c>
      <c r="AJ57" s="168">
        <v>34</v>
      </c>
      <c r="AK57" s="213">
        <f t="shared" ref="AK57:AK88" ca="1" si="45">EDATE(AK56,1)</f>
        <v>46183</v>
      </c>
      <c r="AL57" s="208">
        <f t="shared" si="15"/>
        <v>532.75</v>
      </c>
      <c r="AN57" s="168">
        <v>34</v>
      </c>
      <c r="AO57" s="189">
        <f t="shared" ca="1" si="8"/>
        <v>46183</v>
      </c>
      <c r="BC57" s="186" t="str">
        <f t="shared" si="41"/>
        <v>1GOV MT</v>
      </c>
      <c r="BD57" s="186">
        <f t="shared" si="42"/>
        <v>1</v>
      </c>
      <c r="BE57" s="209" t="str">
        <f>'SIMULADOR COM SALDO'!BF56</f>
        <v>GOV MT</v>
      </c>
      <c r="BF57" s="209" t="str">
        <f>'SIMULADOR COM SALDO'!BG56</f>
        <v>745111 - Tabela 1</v>
      </c>
      <c r="BG57" s="209">
        <f>'SIMULADOR COM SALDO'!BH56</f>
        <v>2.2000000000000002E-2</v>
      </c>
      <c r="BH57" s="209">
        <f>'SIMULADOR COM SALDO'!BI56</f>
        <v>108</v>
      </c>
      <c r="BI57" s="209" t="str">
        <f>'SIMULADOR COM SALDO'!BJ56</f>
        <v/>
      </c>
      <c r="BJ57" s="209">
        <f>'SIMULADOR COM SALDO'!BK56</f>
        <v>2.2200000000000002</v>
      </c>
      <c r="BK57" s="209">
        <f>'SIMULADOR COM SALDO'!BL56</f>
        <v>30</v>
      </c>
      <c r="BL57" s="209">
        <f>'SIMULADOR COM SALDO'!BM56</f>
        <v>63</v>
      </c>
      <c r="BM57" s="209" t="str">
        <f>'SIMULADOR COM SALDO'!BN56</f>
        <v>RFN - GOV MT DIG 1 PORTAB</v>
      </c>
      <c r="BN57" s="209" t="str">
        <f>'SIMULADOR COM SALDO'!BO56</f>
        <v>1,5</v>
      </c>
      <c r="BO57" s="209">
        <f>'SIMULADOR COM SALDO'!BP56</f>
        <v>1.4999999999999999E-2</v>
      </c>
      <c r="BP57" s="209">
        <f>'SIMULADOR COM SALDO'!BQ56</f>
        <v>2.5659319746310579E-2</v>
      </c>
      <c r="BQ57" s="209">
        <f>'SIMULADOR COM SALDO'!BR56</f>
        <v>2.2200000000000001E-2</v>
      </c>
      <c r="BR57" s="209">
        <f>'SIMULADOR COM SALDO'!BS56</f>
        <v>2.9999999999999997E-4</v>
      </c>
    </row>
    <row r="58" spans="2:70" hidden="1" x14ac:dyDescent="0.25">
      <c r="B58">
        <v>21</v>
      </c>
      <c r="C58" s="13">
        <f t="shared" ca="1" si="34"/>
        <v>45787</v>
      </c>
      <c r="D58" s="14">
        <f t="shared" ca="1" si="37"/>
        <v>188.6879481512976</v>
      </c>
      <c r="E58" s="14">
        <f t="shared" ca="1" si="38"/>
        <v>170.32009479143679</v>
      </c>
      <c r="F58" s="14">
        <f t="shared" si="38"/>
        <v>0</v>
      </c>
      <c r="G58" s="14">
        <f t="shared" si="38"/>
        <v>0</v>
      </c>
      <c r="H58" s="14">
        <f t="shared" si="38"/>
        <v>0</v>
      </c>
      <c r="I58" s="14">
        <f t="shared" si="38"/>
        <v>0</v>
      </c>
      <c r="J58" s="14">
        <f t="shared" si="38"/>
        <v>0</v>
      </c>
      <c r="K58" s="14">
        <f t="shared" si="38"/>
        <v>0</v>
      </c>
      <c r="L58" s="14">
        <f t="shared" si="38"/>
        <v>0</v>
      </c>
      <c r="M58" s="224">
        <f t="shared" si="38"/>
        <v>0</v>
      </c>
      <c r="N58" s="216"/>
      <c r="O58" s="216"/>
      <c r="P58" s="161">
        <v>43</v>
      </c>
      <c r="Q58" s="161">
        <f t="shared" si="2"/>
        <v>276.85000000000002</v>
      </c>
      <c r="R58" s="161">
        <f t="shared" si="25"/>
        <v>249.9</v>
      </c>
      <c r="S58" s="161">
        <f t="shared" si="26"/>
        <v>0</v>
      </c>
      <c r="T58" s="161">
        <f t="shared" si="27"/>
        <v>0</v>
      </c>
      <c r="U58" s="161">
        <f t="shared" si="28"/>
        <v>0</v>
      </c>
      <c r="V58" s="161">
        <f t="shared" si="29"/>
        <v>0</v>
      </c>
      <c r="W58" s="161">
        <f t="shared" si="30"/>
        <v>0</v>
      </c>
      <c r="X58" s="161">
        <f t="shared" si="31"/>
        <v>0</v>
      </c>
      <c r="Y58" s="161">
        <f t="shared" si="32"/>
        <v>0</v>
      </c>
      <c r="Z58" s="161">
        <f t="shared" si="33"/>
        <v>0</v>
      </c>
      <c r="AB58" s="168">
        <v>35</v>
      </c>
      <c r="AC58" s="213">
        <f t="shared" ca="1" si="43"/>
        <v>46213</v>
      </c>
      <c r="AD58" s="214">
        <f t="shared" si="39"/>
        <v>526.75</v>
      </c>
      <c r="AE58" s="168"/>
      <c r="AF58" s="168">
        <v>35</v>
      </c>
      <c r="AG58" s="213">
        <f t="shared" ca="1" si="44"/>
        <v>46213</v>
      </c>
      <c r="AH58" s="208">
        <f t="shared" si="13"/>
        <v>6</v>
      </c>
      <c r="AI58" s="215">
        <f t="shared" ca="1" si="40"/>
        <v>3.1060365007902497</v>
      </c>
      <c r="AJ58" s="168">
        <v>35</v>
      </c>
      <c r="AK58" s="213">
        <f t="shared" ca="1" si="45"/>
        <v>46213</v>
      </c>
      <c r="AL58" s="208">
        <f t="shared" si="15"/>
        <v>532.75</v>
      </c>
      <c r="AN58" s="168">
        <v>35</v>
      </c>
      <c r="AO58" s="189">
        <f t="shared" ca="1" si="8"/>
        <v>46213</v>
      </c>
      <c r="BC58" s="186" t="str">
        <f t="shared" si="41"/>
        <v>2GOV MT</v>
      </c>
      <c r="BD58" s="186">
        <f t="shared" si="42"/>
        <v>2</v>
      </c>
      <c r="BE58" s="209" t="str">
        <f>'SIMULADOR COM SALDO'!BF57</f>
        <v>GOV MT</v>
      </c>
      <c r="BF58" s="209" t="str">
        <f>'SIMULADOR COM SALDO'!BG57</f>
        <v>745112 - Tabela 2</v>
      </c>
      <c r="BG58" s="209">
        <f>'SIMULADOR COM SALDO'!BH57</f>
        <v>2.1000000000000001E-2</v>
      </c>
      <c r="BH58" s="209">
        <f>'SIMULADOR COM SALDO'!BI57</f>
        <v>120</v>
      </c>
      <c r="BI58" s="209" t="str">
        <f>'SIMULADOR COM SALDO'!BJ57</f>
        <v/>
      </c>
      <c r="BJ58" s="209">
        <f>'SIMULADOR COM SALDO'!BK57</f>
        <v>2.2200000000000002</v>
      </c>
      <c r="BK58" s="209">
        <f>'SIMULADOR COM SALDO'!BL57</f>
        <v>30</v>
      </c>
      <c r="BL58" s="209">
        <f>'SIMULADOR COM SALDO'!BM57</f>
        <v>63</v>
      </c>
      <c r="BM58" s="209" t="str">
        <f>'SIMULADOR COM SALDO'!BN57</f>
        <v>RFN - GOV MT DIG 2 PORTAB</v>
      </c>
      <c r="BN58" s="209" t="str">
        <f>'SIMULADOR COM SALDO'!BO57</f>
        <v>1,5</v>
      </c>
      <c r="BO58" s="209">
        <f>'SIMULADOR COM SALDO'!BP57</f>
        <v>1.4999999999999999E-2</v>
      </c>
      <c r="BP58" s="209">
        <f>'SIMULADOR COM SALDO'!BQ57</f>
        <v>2.4126346058624463E-2</v>
      </c>
      <c r="BQ58" s="209">
        <f>'SIMULADOR COM SALDO'!BR57</f>
        <v>2.2200000000000001E-2</v>
      </c>
      <c r="BR58" s="209">
        <f>'SIMULADOR COM SALDO'!BS57</f>
        <v>2.9999999999999997E-4</v>
      </c>
    </row>
    <row r="59" spans="2:70" hidden="1" x14ac:dyDescent="0.25">
      <c r="B59">
        <v>22</v>
      </c>
      <c r="C59" s="13">
        <f t="shared" ca="1" si="34"/>
        <v>45818</v>
      </c>
      <c r="D59" s="14">
        <f t="shared" ca="1" si="37"/>
        <v>185.09394069236467</v>
      </c>
      <c r="E59" s="14">
        <f t="shared" ca="1" si="38"/>
        <v>167.07594646567429</v>
      </c>
      <c r="F59" s="14">
        <f t="shared" si="38"/>
        <v>0</v>
      </c>
      <c r="G59" s="14">
        <f t="shared" si="38"/>
        <v>0</v>
      </c>
      <c r="H59" s="14">
        <f t="shared" si="38"/>
        <v>0</v>
      </c>
      <c r="I59" s="14">
        <f t="shared" si="38"/>
        <v>0</v>
      </c>
      <c r="J59" s="14">
        <f t="shared" si="38"/>
        <v>0</v>
      </c>
      <c r="K59" s="14">
        <f t="shared" si="38"/>
        <v>0</v>
      </c>
      <c r="L59" s="14">
        <f t="shared" si="38"/>
        <v>0</v>
      </c>
      <c r="M59" s="224">
        <f t="shared" si="38"/>
        <v>0</v>
      </c>
      <c r="N59" s="216"/>
      <c r="O59" s="216"/>
      <c r="P59" s="161">
        <v>44</v>
      </c>
      <c r="Q59" s="161">
        <f t="shared" si="2"/>
        <v>276.85000000000002</v>
      </c>
      <c r="R59" s="161">
        <f t="shared" si="25"/>
        <v>249.9</v>
      </c>
      <c r="S59" s="161">
        <f t="shared" si="26"/>
        <v>0</v>
      </c>
      <c r="T59" s="161">
        <f t="shared" si="27"/>
        <v>0</v>
      </c>
      <c r="U59" s="161">
        <f t="shared" si="28"/>
        <v>0</v>
      </c>
      <c r="V59" s="161">
        <f t="shared" si="29"/>
        <v>0</v>
      </c>
      <c r="W59" s="161">
        <f t="shared" si="30"/>
        <v>0</v>
      </c>
      <c r="X59" s="161">
        <f t="shared" si="31"/>
        <v>0</v>
      </c>
      <c r="Y59" s="161">
        <f t="shared" si="32"/>
        <v>0</v>
      </c>
      <c r="Z59" s="161">
        <f t="shared" si="33"/>
        <v>0</v>
      </c>
      <c r="AB59" s="168">
        <v>36</v>
      </c>
      <c r="AC59" s="213">
        <f t="shared" ca="1" si="43"/>
        <v>46244</v>
      </c>
      <c r="AD59" s="214">
        <f t="shared" si="39"/>
        <v>526.75</v>
      </c>
      <c r="AE59" s="168"/>
      <c r="AF59" s="168">
        <v>36</v>
      </c>
      <c r="AG59" s="213">
        <f t="shared" ca="1" si="44"/>
        <v>46244</v>
      </c>
      <c r="AH59" s="208">
        <f t="shared" si="13"/>
        <v>6</v>
      </c>
      <c r="AI59" s="215">
        <f t="shared" ca="1" si="40"/>
        <v>3.0459015372253111</v>
      </c>
      <c r="AJ59" s="168">
        <v>36</v>
      </c>
      <c r="AK59" s="213">
        <f t="shared" ca="1" si="45"/>
        <v>46244</v>
      </c>
      <c r="AL59" s="208">
        <f t="shared" si="15"/>
        <v>532.75</v>
      </c>
      <c r="AN59" s="168">
        <v>36</v>
      </c>
      <c r="AO59" s="189">
        <f t="shared" ca="1" si="8"/>
        <v>46244</v>
      </c>
      <c r="BC59" s="186" t="str">
        <f t="shared" si="41"/>
        <v>1GOV PARANA</v>
      </c>
      <c r="BD59" s="186">
        <f t="shared" si="42"/>
        <v>1</v>
      </c>
      <c r="BE59" s="209" t="str">
        <f>'SIMULADOR COM SALDO'!BF58</f>
        <v>GOV PARANA</v>
      </c>
      <c r="BF59" s="209" t="str">
        <f>'SIMULADOR COM SALDO'!BG58</f>
        <v>795039 - Tabela 1</v>
      </c>
      <c r="BG59" s="209">
        <f>'SIMULADOR COM SALDO'!BH58</f>
        <v>1.9E-2</v>
      </c>
      <c r="BH59" s="209">
        <f>'SIMULADOR COM SALDO'!BI58</f>
        <v>96</v>
      </c>
      <c r="BI59" s="209" t="str">
        <f>'SIMULADOR COM SALDO'!BJ58</f>
        <v/>
      </c>
      <c r="BJ59" s="209">
        <f>'SIMULADOR COM SALDO'!BK58</f>
        <v>1.99</v>
      </c>
      <c r="BK59" s="209">
        <f>'SIMULADOR COM SALDO'!BL58</f>
        <v>10</v>
      </c>
      <c r="BL59" s="209">
        <f>'SIMULADOR COM SALDO'!BM58</f>
        <v>50</v>
      </c>
      <c r="BM59" s="209" t="str">
        <f>'SIMULADOR COM SALDO'!BN58</f>
        <v>RFN - GOV PR DIG PORTAB 1</v>
      </c>
      <c r="BN59" s="209" t="str">
        <f>'SIMULADOR COM SALDO'!BO58</f>
        <v>1,36</v>
      </c>
      <c r="BO59" s="209">
        <f>'SIMULADOR COM SALDO'!BP58</f>
        <v>1.3600000000000001E-2</v>
      </c>
      <c r="BP59" s="209">
        <f>'SIMULADOR COM SALDO'!BQ58</f>
        <v>2.3713243635123765E-2</v>
      </c>
      <c r="BQ59" s="209">
        <f>'SIMULADOR COM SALDO'!BR58</f>
        <v>1.9900000000000001E-2</v>
      </c>
      <c r="BR59" s="209">
        <f>'SIMULADOR COM SALDO'!BS58</f>
        <v>2.9999999999999997E-4</v>
      </c>
    </row>
    <row r="60" spans="2:70" hidden="1" x14ac:dyDescent="0.25">
      <c r="B60">
        <v>23</v>
      </c>
      <c r="C60" s="13">
        <f t="shared" ca="1" si="34"/>
        <v>45848</v>
      </c>
      <c r="D60" s="14">
        <f t="shared" ca="1" si="37"/>
        <v>181.6810619437513</v>
      </c>
      <c r="E60" s="14">
        <f t="shared" ca="1" si="38"/>
        <v>163.99529485188171</v>
      </c>
      <c r="F60" s="14">
        <f t="shared" si="38"/>
        <v>0</v>
      </c>
      <c r="G60" s="14">
        <f t="shared" si="38"/>
        <v>0</v>
      </c>
      <c r="H60" s="14">
        <f t="shared" si="38"/>
        <v>0</v>
      </c>
      <c r="I60" s="14">
        <f t="shared" si="38"/>
        <v>0</v>
      </c>
      <c r="J60" s="14">
        <f t="shared" si="38"/>
        <v>0</v>
      </c>
      <c r="K60" s="14">
        <f t="shared" si="38"/>
        <v>0</v>
      </c>
      <c r="L60" s="14">
        <f t="shared" si="38"/>
        <v>0</v>
      </c>
      <c r="M60" s="224">
        <f t="shared" si="38"/>
        <v>0</v>
      </c>
      <c r="N60" s="216"/>
      <c r="O60" s="216"/>
      <c r="P60" s="161">
        <v>45</v>
      </c>
      <c r="Q60" s="161">
        <f t="shared" si="2"/>
        <v>276.85000000000002</v>
      </c>
      <c r="R60" s="161">
        <f t="shared" si="25"/>
        <v>249.9</v>
      </c>
      <c r="S60" s="161">
        <f t="shared" si="26"/>
        <v>0</v>
      </c>
      <c r="T60" s="161">
        <f t="shared" si="27"/>
        <v>0</v>
      </c>
      <c r="U60" s="161">
        <f t="shared" si="28"/>
        <v>0</v>
      </c>
      <c r="V60" s="161">
        <f t="shared" si="29"/>
        <v>0</v>
      </c>
      <c r="W60" s="161">
        <f t="shared" si="30"/>
        <v>0</v>
      </c>
      <c r="X60" s="161">
        <f t="shared" si="31"/>
        <v>0</v>
      </c>
      <c r="Y60" s="161">
        <f t="shared" si="32"/>
        <v>0</v>
      </c>
      <c r="Z60" s="161">
        <f t="shared" si="33"/>
        <v>0</v>
      </c>
      <c r="AB60" s="168">
        <v>37</v>
      </c>
      <c r="AC60" s="213">
        <f t="shared" ca="1" si="43"/>
        <v>46275</v>
      </c>
      <c r="AD60" s="214">
        <f t="shared" si="39"/>
        <v>526.75</v>
      </c>
      <c r="AE60" s="168"/>
      <c r="AF60" s="168">
        <v>37</v>
      </c>
      <c r="AG60" s="213">
        <f t="shared" ca="1" si="44"/>
        <v>46275</v>
      </c>
      <c r="AH60" s="208">
        <f t="shared" si="13"/>
        <v>6</v>
      </c>
      <c r="AI60" s="215">
        <f t="shared" ca="1" si="40"/>
        <v>2.9869308271525763</v>
      </c>
      <c r="AJ60" s="168">
        <v>37</v>
      </c>
      <c r="AK60" s="213">
        <f t="shared" ca="1" si="45"/>
        <v>46275</v>
      </c>
      <c r="AL60" s="208">
        <f t="shared" si="15"/>
        <v>532.75</v>
      </c>
      <c r="AN60" s="168">
        <v>37</v>
      </c>
      <c r="AO60" s="189">
        <f t="shared" ca="1" si="8"/>
        <v>46275</v>
      </c>
      <c r="BC60" s="186" t="str">
        <f t="shared" si="41"/>
        <v>2GOV PARANA</v>
      </c>
      <c r="BD60" s="186">
        <f t="shared" si="42"/>
        <v>2</v>
      </c>
      <c r="BE60" s="209" t="str">
        <f>'SIMULADOR COM SALDO'!BF59</f>
        <v>GOV PARANA</v>
      </c>
      <c r="BF60" s="209" t="str">
        <f>'SIMULADOR COM SALDO'!BG59</f>
        <v>795008 - Tabela 2</v>
      </c>
      <c r="BG60" s="209">
        <f>'SIMULADOR COM SALDO'!BH59</f>
        <v>1.8500000000000003E-2</v>
      </c>
      <c r="BH60" s="209">
        <f>'SIMULADOR COM SALDO'!BI59</f>
        <v>96</v>
      </c>
      <c r="BI60" s="209" t="str">
        <f>'SIMULADOR COM SALDO'!BJ59</f>
        <v/>
      </c>
      <c r="BJ60" s="209">
        <f>'SIMULADOR COM SALDO'!BK59</f>
        <v>1.99</v>
      </c>
      <c r="BK60" s="209">
        <f>'SIMULADOR COM SALDO'!BL59</f>
        <v>10</v>
      </c>
      <c r="BL60" s="209">
        <f>'SIMULADOR COM SALDO'!BM59</f>
        <v>45</v>
      </c>
      <c r="BM60" s="209" t="str">
        <f>'SIMULADOR COM SALDO'!BN59</f>
        <v>RFN - GOV PR DIG PORTAB 2</v>
      </c>
      <c r="BN60" s="209" t="str">
        <f>'SIMULADOR COM SALDO'!BO59</f>
        <v>1,36</v>
      </c>
      <c r="BO60" s="209">
        <f>'SIMULADOR COM SALDO'!BP59</f>
        <v>1.3600000000000001E-2</v>
      </c>
      <c r="BP60" s="209">
        <f>'SIMULADOR COM SALDO'!BQ59</f>
        <v>2.3231375881545779E-2</v>
      </c>
      <c r="BQ60" s="209">
        <f>'SIMULADOR COM SALDO'!BR59</f>
        <v>1.9900000000000001E-2</v>
      </c>
      <c r="BR60" s="209">
        <f>'SIMULADOR COM SALDO'!BS59</f>
        <v>2.9999999999999997E-4</v>
      </c>
    </row>
    <row r="61" spans="2:70" hidden="1" x14ac:dyDescent="0.25">
      <c r="B61">
        <v>24</v>
      </c>
      <c r="C61" s="13">
        <f t="shared" ca="1" si="34"/>
        <v>45879</v>
      </c>
      <c r="D61" s="14">
        <f t="shared" ca="1" si="37"/>
        <v>178.22051717568203</v>
      </c>
      <c r="E61" s="14">
        <f t="shared" ca="1" si="38"/>
        <v>160.87161727362448</v>
      </c>
      <c r="F61" s="14">
        <f t="shared" si="38"/>
        <v>0</v>
      </c>
      <c r="G61" s="14">
        <f t="shared" si="38"/>
        <v>0</v>
      </c>
      <c r="H61" s="14">
        <f t="shared" si="38"/>
        <v>0</v>
      </c>
      <c r="I61" s="14">
        <f t="shared" si="38"/>
        <v>0</v>
      </c>
      <c r="J61" s="14">
        <f t="shared" si="38"/>
        <v>0</v>
      </c>
      <c r="K61" s="14">
        <f t="shared" si="38"/>
        <v>0</v>
      </c>
      <c r="L61" s="14">
        <f t="shared" si="38"/>
        <v>0</v>
      </c>
      <c r="M61" s="224">
        <f t="shared" si="38"/>
        <v>0</v>
      </c>
      <c r="N61" s="216"/>
      <c r="O61" s="216"/>
      <c r="P61" s="161">
        <v>46</v>
      </c>
      <c r="Q61" s="161">
        <f t="shared" si="2"/>
        <v>276.85000000000002</v>
      </c>
      <c r="R61" s="161">
        <f t="shared" si="25"/>
        <v>249.9</v>
      </c>
      <c r="S61" s="161">
        <f t="shared" si="26"/>
        <v>0</v>
      </c>
      <c r="T61" s="161">
        <f t="shared" si="27"/>
        <v>0</v>
      </c>
      <c r="U61" s="161">
        <f t="shared" si="28"/>
        <v>0</v>
      </c>
      <c r="V61" s="161">
        <f t="shared" si="29"/>
        <v>0</v>
      </c>
      <c r="W61" s="161">
        <f t="shared" si="30"/>
        <v>0</v>
      </c>
      <c r="X61" s="161">
        <f t="shared" si="31"/>
        <v>0</v>
      </c>
      <c r="Y61" s="161">
        <f t="shared" si="32"/>
        <v>0</v>
      </c>
      <c r="Z61" s="161">
        <f t="shared" si="33"/>
        <v>0</v>
      </c>
      <c r="AB61" s="168">
        <v>38</v>
      </c>
      <c r="AC61" s="213">
        <f t="shared" ca="1" si="43"/>
        <v>46305</v>
      </c>
      <c r="AD61" s="214">
        <f t="shared" si="39"/>
        <v>526.75</v>
      </c>
      <c r="AE61" s="168"/>
      <c r="AF61" s="168">
        <v>38</v>
      </c>
      <c r="AG61" s="213">
        <f t="shared" ca="1" si="44"/>
        <v>46305</v>
      </c>
      <c r="AH61" s="208">
        <f t="shared" si="13"/>
        <v>6</v>
      </c>
      <c r="AI61" s="215">
        <f t="shared" ca="1" si="40"/>
        <v>2.9309496881096817</v>
      </c>
      <c r="AJ61" s="168">
        <v>38</v>
      </c>
      <c r="AK61" s="213">
        <f t="shared" ca="1" si="45"/>
        <v>46305</v>
      </c>
      <c r="AL61" s="208">
        <f t="shared" si="15"/>
        <v>532.75</v>
      </c>
      <c r="AN61" s="168">
        <v>38</v>
      </c>
      <c r="AO61" s="189">
        <f t="shared" ca="1" si="8"/>
        <v>46305</v>
      </c>
      <c r="BC61" s="186" t="str">
        <f t="shared" si="41"/>
        <v>3GOV PARANA</v>
      </c>
      <c r="BD61" s="186">
        <f t="shared" si="42"/>
        <v>3</v>
      </c>
      <c r="BE61" s="209" t="str">
        <f>'SIMULADOR COM SALDO'!BF60</f>
        <v>GOV PARANA</v>
      </c>
      <c r="BF61" s="209" t="str">
        <f>'SIMULADOR COM SALDO'!BG60</f>
        <v>795009 - Tabela 3</v>
      </c>
      <c r="BG61" s="209">
        <f>'SIMULADOR COM SALDO'!BH60</f>
        <v>1.8000000000000002E-2</v>
      </c>
      <c r="BH61" s="209">
        <f>'SIMULADOR COM SALDO'!BI60</f>
        <v>96</v>
      </c>
      <c r="BI61" s="209" t="str">
        <f>'SIMULADOR COM SALDO'!BJ60</f>
        <v/>
      </c>
      <c r="BJ61" s="209">
        <f>'SIMULADOR COM SALDO'!BK60</f>
        <v>1.99</v>
      </c>
      <c r="BK61" s="209">
        <f>'SIMULADOR COM SALDO'!BL60</f>
        <v>10</v>
      </c>
      <c r="BL61" s="209">
        <f>'SIMULADOR COM SALDO'!BM60</f>
        <v>51</v>
      </c>
      <c r="BM61" s="209" t="str">
        <f>'SIMULADOR COM SALDO'!BN60</f>
        <v>RFN - GOV PR DIG PORTAB 3</v>
      </c>
      <c r="BN61" s="209" t="str">
        <f>'SIMULADOR COM SALDO'!BO60</f>
        <v>1,36</v>
      </c>
      <c r="BO61" s="209">
        <f>'SIMULADOR COM SALDO'!BP60</f>
        <v>1.3600000000000001E-2</v>
      </c>
      <c r="BP61" s="209">
        <f>'SIMULADOR COM SALDO'!BQ60</f>
        <v>2.2908559816700771E-2</v>
      </c>
      <c r="BQ61" s="209">
        <f>'SIMULADOR COM SALDO'!BR60</f>
        <v>1.9900000000000001E-2</v>
      </c>
      <c r="BR61" s="209">
        <f>'SIMULADOR COM SALDO'!BS60</f>
        <v>2.9999999999999997E-4</v>
      </c>
    </row>
    <row r="62" spans="2:70" hidden="1" x14ac:dyDescent="0.25">
      <c r="B62">
        <v>25</v>
      </c>
      <c r="C62" s="13">
        <f t="shared" ca="1" si="34"/>
        <v>45910</v>
      </c>
      <c r="D62" s="14">
        <f t="shared" ca="1" si="37"/>
        <v>174.82588665295947</v>
      </c>
      <c r="E62" s="14">
        <f t="shared" ca="1" si="38"/>
        <v>157.807437509751</v>
      </c>
      <c r="F62" s="14">
        <f t="shared" si="38"/>
        <v>0</v>
      </c>
      <c r="G62" s="14">
        <f t="shared" si="38"/>
        <v>0</v>
      </c>
      <c r="H62" s="14">
        <f t="shared" si="38"/>
        <v>0</v>
      </c>
      <c r="I62" s="14">
        <f t="shared" si="38"/>
        <v>0</v>
      </c>
      <c r="J62" s="14">
        <f t="shared" si="38"/>
        <v>0</v>
      </c>
      <c r="K62" s="14">
        <f t="shared" si="38"/>
        <v>0</v>
      </c>
      <c r="L62" s="14">
        <f t="shared" si="38"/>
        <v>0</v>
      </c>
      <c r="M62" s="224">
        <f t="shared" si="38"/>
        <v>0</v>
      </c>
      <c r="N62" s="216"/>
      <c r="O62" s="216"/>
      <c r="P62" s="161">
        <v>47</v>
      </c>
      <c r="Q62" s="161">
        <f t="shared" si="2"/>
        <v>276.85000000000002</v>
      </c>
      <c r="R62" s="161">
        <f t="shared" si="25"/>
        <v>249.9</v>
      </c>
      <c r="S62" s="161">
        <f t="shared" si="26"/>
        <v>0</v>
      </c>
      <c r="T62" s="161">
        <f t="shared" si="27"/>
        <v>0</v>
      </c>
      <c r="U62" s="161">
        <f t="shared" si="28"/>
        <v>0</v>
      </c>
      <c r="V62" s="161">
        <f t="shared" si="29"/>
        <v>0</v>
      </c>
      <c r="W62" s="161">
        <f t="shared" si="30"/>
        <v>0</v>
      </c>
      <c r="X62" s="161">
        <f t="shared" si="31"/>
        <v>0</v>
      </c>
      <c r="Y62" s="161">
        <f t="shared" si="32"/>
        <v>0</v>
      </c>
      <c r="Z62" s="161">
        <f t="shared" si="33"/>
        <v>0</v>
      </c>
      <c r="AB62" s="168">
        <v>39</v>
      </c>
      <c r="AC62" s="213">
        <f t="shared" ca="1" si="43"/>
        <v>46336</v>
      </c>
      <c r="AD62" s="214">
        <f t="shared" si="39"/>
        <v>526.75</v>
      </c>
      <c r="AE62" s="168"/>
      <c r="AF62" s="168">
        <v>39</v>
      </c>
      <c r="AG62" s="213">
        <f t="shared" ca="1" si="44"/>
        <v>46336</v>
      </c>
      <c r="AH62" s="208">
        <f t="shared" si="13"/>
        <v>6</v>
      </c>
      <c r="AI62" s="215">
        <f t="shared" ca="1" si="40"/>
        <v>2.8742045234407221</v>
      </c>
      <c r="AJ62" s="168">
        <v>39</v>
      </c>
      <c r="AK62" s="213">
        <f t="shared" ca="1" si="45"/>
        <v>46336</v>
      </c>
      <c r="AL62" s="208">
        <f t="shared" si="15"/>
        <v>532.75</v>
      </c>
      <c r="AN62" s="168">
        <v>39</v>
      </c>
      <c r="AO62" s="189">
        <f t="shared" ca="1" si="8"/>
        <v>46336</v>
      </c>
      <c r="BC62" s="186" t="str">
        <f t="shared" si="41"/>
        <v>1GOV PB</v>
      </c>
      <c r="BD62" s="186">
        <f t="shared" si="42"/>
        <v>1</v>
      </c>
      <c r="BE62" s="209" t="str">
        <f>'SIMULADOR COM SALDO'!BF61</f>
        <v>GOV PB</v>
      </c>
      <c r="BF62" s="209" t="str">
        <f>'SIMULADOR COM SALDO'!BG61</f>
        <v>505001 - Tabela 1</v>
      </c>
      <c r="BG62" s="209">
        <f>'SIMULADOR COM SALDO'!BH61</f>
        <v>1.9799999999999998E-2</v>
      </c>
      <c r="BH62" s="209">
        <f>'SIMULADOR COM SALDO'!BI61</f>
        <v>120</v>
      </c>
      <c r="BI62" s="209" t="str">
        <f>'SIMULADOR COM SALDO'!BJ61</f>
        <v/>
      </c>
      <c r="BJ62" s="209">
        <f>'SIMULADOR COM SALDO'!BK61</f>
        <v>1.98</v>
      </c>
      <c r="BK62" s="209">
        <f>'SIMULADOR COM SALDO'!BL61</f>
        <v>20</v>
      </c>
      <c r="BL62" s="209">
        <f>'SIMULADOR COM SALDO'!BM61</f>
        <v>69</v>
      </c>
      <c r="BM62" s="209" t="str">
        <f>'SIMULADOR COM SALDO'!BN61</f>
        <v>RFN - GOV. PARAIBA 1 DIG PORTAB</v>
      </c>
      <c r="BN62" s="209" t="str">
        <f>'SIMULADOR COM SALDO'!BO61</f>
        <v>1,7</v>
      </c>
      <c r="BO62" s="209">
        <f>'SIMULADOR COM SALDO'!BP61</f>
        <v>1.7000000000000001E-2</v>
      </c>
      <c r="BP62" s="209">
        <f>'SIMULADOR COM SALDO'!BQ61</f>
        <v>2.3123041668517058E-2</v>
      </c>
      <c r="BQ62" s="209">
        <f>'SIMULADOR COM SALDO'!BR61</f>
        <v>1.9799999999999998E-2</v>
      </c>
      <c r="BR62" s="209">
        <f>'SIMULADOR COM SALDO'!BS61</f>
        <v>2.9999999999999997E-4</v>
      </c>
    </row>
    <row r="63" spans="2:70" hidden="1" x14ac:dyDescent="0.25">
      <c r="B63">
        <v>26</v>
      </c>
      <c r="C63" s="13">
        <f t="shared" ca="1" si="34"/>
        <v>45940</v>
      </c>
      <c r="D63" s="14">
        <f t="shared" ca="1" si="37"/>
        <v>171.60233675697958</v>
      </c>
      <c r="E63" s="14">
        <f t="shared" ca="1" si="38"/>
        <v>154.89768450630015</v>
      </c>
      <c r="F63" s="14">
        <f t="shared" si="38"/>
        <v>0</v>
      </c>
      <c r="G63" s="14">
        <f t="shared" si="38"/>
        <v>0</v>
      </c>
      <c r="H63" s="14">
        <f t="shared" si="38"/>
        <v>0</v>
      </c>
      <c r="I63" s="14">
        <f t="shared" si="38"/>
        <v>0</v>
      </c>
      <c r="J63" s="14">
        <f t="shared" si="38"/>
        <v>0</v>
      </c>
      <c r="K63" s="14">
        <f t="shared" si="38"/>
        <v>0</v>
      </c>
      <c r="L63" s="14">
        <f t="shared" si="38"/>
        <v>0</v>
      </c>
      <c r="M63" s="224">
        <f t="shared" si="38"/>
        <v>0</v>
      </c>
      <c r="N63" s="216"/>
      <c r="O63" s="216"/>
      <c r="P63" s="161">
        <v>48</v>
      </c>
      <c r="Q63" s="161">
        <f t="shared" si="2"/>
        <v>276.85000000000002</v>
      </c>
      <c r="R63" s="161">
        <f t="shared" si="25"/>
        <v>249.9</v>
      </c>
      <c r="S63" s="161">
        <f t="shared" si="26"/>
        <v>0</v>
      </c>
      <c r="T63" s="161">
        <f t="shared" si="27"/>
        <v>0</v>
      </c>
      <c r="U63" s="161">
        <f t="shared" si="28"/>
        <v>0</v>
      </c>
      <c r="V63" s="161">
        <f t="shared" si="29"/>
        <v>0</v>
      </c>
      <c r="W63" s="161">
        <f t="shared" si="30"/>
        <v>0</v>
      </c>
      <c r="X63" s="161">
        <f t="shared" si="31"/>
        <v>0</v>
      </c>
      <c r="Y63" s="161">
        <f t="shared" si="32"/>
        <v>0</v>
      </c>
      <c r="Z63" s="161">
        <f t="shared" si="33"/>
        <v>0</v>
      </c>
      <c r="AB63" s="168">
        <v>40</v>
      </c>
      <c r="AC63" s="213">
        <f t="shared" ca="1" si="43"/>
        <v>46366</v>
      </c>
      <c r="AD63" s="214">
        <f t="shared" si="39"/>
        <v>526.75</v>
      </c>
      <c r="AE63" s="168"/>
      <c r="AF63" s="168">
        <v>40</v>
      </c>
      <c r="AG63" s="213">
        <f t="shared" ca="1" si="44"/>
        <v>46366</v>
      </c>
      <c r="AH63" s="208">
        <f t="shared" si="13"/>
        <v>6</v>
      </c>
      <c r="AI63" s="215">
        <f t="shared" ca="1" si="40"/>
        <v>2.820336103857052</v>
      </c>
      <c r="AJ63" s="168">
        <v>40</v>
      </c>
      <c r="AK63" s="213">
        <f t="shared" ca="1" si="45"/>
        <v>46366</v>
      </c>
      <c r="AL63" s="208">
        <f t="shared" si="15"/>
        <v>532.75</v>
      </c>
      <c r="AN63" s="168">
        <v>40</v>
      </c>
      <c r="AO63" s="189">
        <f t="shared" ca="1" si="8"/>
        <v>46366</v>
      </c>
      <c r="BC63" s="186" t="str">
        <f t="shared" si="41"/>
        <v>1GOV PE</v>
      </c>
      <c r="BD63" s="186">
        <f t="shared" si="42"/>
        <v>1</v>
      </c>
      <c r="BE63" s="209" t="str">
        <f>'SIMULADOR COM SALDO'!BF62</f>
        <v>GOV PE</v>
      </c>
      <c r="BF63" s="209" t="str">
        <f>'SIMULADOR COM SALDO'!BG62</f>
        <v>745125 - Tabela 1</v>
      </c>
      <c r="BG63" s="209">
        <f>'SIMULADOR COM SALDO'!BH62</f>
        <v>1.6500000000000001E-2</v>
      </c>
      <c r="BH63" s="209">
        <f>'SIMULADOR COM SALDO'!BI62</f>
        <v>96</v>
      </c>
      <c r="BI63" s="209" t="str">
        <f>'SIMULADOR COM SALDO'!BJ62</f>
        <v/>
      </c>
      <c r="BJ63" s="209">
        <f>'SIMULADOR COM SALDO'!BK62</f>
        <v>2.7</v>
      </c>
      <c r="BK63" s="209">
        <f>'SIMULADOR COM SALDO'!BL62</f>
        <v>10</v>
      </c>
      <c r="BL63" s="209">
        <f>'SIMULADOR COM SALDO'!BM62</f>
        <v>52</v>
      </c>
      <c r="BM63" s="209" t="str">
        <f>'SIMULADOR COM SALDO'!BN62</f>
        <v>RFN - GOV. PE DIG 1 PORTABILIDADE</v>
      </c>
      <c r="BN63" s="209">
        <f>'SIMULADOR COM SALDO'!BO62</f>
        <v>1.4</v>
      </c>
      <c r="BO63" s="209">
        <f>'SIMULADOR COM SALDO'!BP62</f>
        <v>1.3999999999999999E-2</v>
      </c>
      <c r="BP63" s="209">
        <f>'SIMULADOR COM SALDO'!BQ62</f>
        <v>2.1716111928381826E-2</v>
      </c>
      <c r="BQ63" s="209">
        <f>'SIMULADOR COM SALDO'!BR62</f>
        <v>2.9000000000000001E-2</v>
      </c>
      <c r="BR63" s="209">
        <f>'SIMULADOR COM SALDO'!BS62</f>
        <v>2.9999999999999997E-4</v>
      </c>
    </row>
    <row r="64" spans="2:70" hidden="1" x14ac:dyDescent="0.25">
      <c r="B64">
        <v>27</v>
      </c>
      <c r="C64" s="13">
        <f t="shared" ca="1" si="34"/>
        <v>45971</v>
      </c>
      <c r="D64" s="14">
        <f t="shared" ca="1" si="37"/>
        <v>168.33376510564986</v>
      </c>
      <c r="E64" s="14">
        <f t="shared" ca="1" si="38"/>
        <v>151.9472923962503</v>
      </c>
      <c r="F64" s="14">
        <f t="shared" si="38"/>
        <v>0</v>
      </c>
      <c r="G64" s="14">
        <f t="shared" si="38"/>
        <v>0</v>
      </c>
      <c r="H64" s="14">
        <f t="shared" si="38"/>
        <v>0</v>
      </c>
      <c r="I64" s="14">
        <f t="shared" si="38"/>
        <v>0</v>
      </c>
      <c r="J64" s="14">
        <f t="shared" si="38"/>
        <v>0</v>
      </c>
      <c r="K64" s="14">
        <f t="shared" si="38"/>
        <v>0</v>
      </c>
      <c r="L64" s="14">
        <f t="shared" si="38"/>
        <v>0</v>
      </c>
      <c r="M64" s="224">
        <f t="shared" si="38"/>
        <v>0</v>
      </c>
      <c r="N64" s="216"/>
      <c r="O64" s="216"/>
      <c r="P64" s="161">
        <v>49</v>
      </c>
      <c r="Q64" s="161">
        <f t="shared" si="2"/>
        <v>276.85000000000002</v>
      </c>
      <c r="R64" s="161">
        <f t="shared" si="25"/>
        <v>249.9</v>
      </c>
      <c r="S64" s="161">
        <f t="shared" si="26"/>
        <v>0</v>
      </c>
      <c r="T64" s="161">
        <f t="shared" si="27"/>
        <v>0</v>
      </c>
      <c r="U64" s="161">
        <f t="shared" si="28"/>
        <v>0</v>
      </c>
      <c r="V64" s="161">
        <f t="shared" si="29"/>
        <v>0</v>
      </c>
      <c r="W64" s="161">
        <f t="shared" si="30"/>
        <v>0</v>
      </c>
      <c r="X64" s="161">
        <f t="shared" si="31"/>
        <v>0</v>
      </c>
      <c r="Y64" s="161">
        <f t="shared" si="32"/>
        <v>0</v>
      </c>
      <c r="Z64" s="161">
        <f t="shared" si="33"/>
        <v>0</v>
      </c>
      <c r="AB64" s="168">
        <v>41</v>
      </c>
      <c r="AC64" s="213">
        <f t="shared" ca="1" si="43"/>
        <v>46397</v>
      </c>
      <c r="AD64" s="214">
        <f t="shared" si="39"/>
        <v>526.75</v>
      </c>
      <c r="AE64" s="168"/>
      <c r="AF64" s="168">
        <v>41</v>
      </c>
      <c r="AG64" s="213">
        <f t="shared" ca="1" si="44"/>
        <v>46397</v>
      </c>
      <c r="AH64" s="208">
        <f t="shared" si="13"/>
        <v>6</v>
      </c>
      <c r="AI64" s="215">
        <f t="shared" ca="1" si="40"/>
        <v>2.7657324928553226</v>
      </c>
      <c r="AJ64" s="168">
        <v>41</v>
      </c>
      <c r="AK64" s="213">
        <f t="shared" ca="1" si="45"/>
        <v>46397</v>
      </c>
      <c r="AL64" s="208">
        <f t="shared" si="15"/>
        <v>532.75</v>
      </c>
      <c r="AN64" s="168">
        <v>41</v>
      </c>
      <c r="AO64" s="189">
        <f t="shared" ca="1" si="8"/>
        <v>46397</v>
      </c>
      <c r="BC64" s="186" t="str">
        <f t="shared" si="41"/>
        <v>2GOV PE</v>
      </c>
      <c r="BD64" s="186">
        <f t="shared" si="42"/>
        <v>2</v>
      </c>
      <c r="BE64" s="209" t="str">
        <f>'SIMULADOR COM SALDO'!BF63</f>
        <v>GOV PE</v>
      </c>
      <c r="BF64" s="209" t="str">
        <f>'SIMULADOR COM SALDO'!BG63</f>
        <v xml:space="preserve">745130 - Tabela </v>
      </c>
      <c r="BG64" s="209">
        <f>'SIMULADOR COM SALDO'!BH63</f>
        <v>1.5600000000000001E-2</v>
      </c>
      <c r="BH64" s="209">
        <f>'SIMULADOR COM SALDO'!BI63</f>
        <v>96</v>
      </c>
      <c r="BI64" s="209" t="str">
        <f>'SIMULADOR COM SALDO'!BJ63</f>
        <v/>
      </c>
      <c r="BJ64" s="209">
        <f>'SIMULADOR COM SALDO'!BK63</f>
        <v>2.7</v>
      </c>
      <c r="BK64" s="209">
        <f>'SIMULADOR COM SALDO'!BL63</f>
        <v>10</v>
      </c>
      <c r="BL64" s="209">
        <f>'SIMULADOR COM SALDO'!BM63</f>
        <v>52</v>
      </c>
      <c r="BM64" s="209" t="str">
        <f>'SIMULADOR COM SALDO'!BN63</f>
        <v>RFN - GOV. PE DIG PORTABILIDADE COMB</v>
      </c>
      <c r="BN64" s="209">
        <f>'SIMULADOR COM SALDO'!BO63</f>
        <v>1.4</v>
      </c>
      <c r="BO64" s="209">
        <f>'SIMULADOR COM SALDO'!BP63</f>
        <v>1.3999999999999999E-2</v>
      </c>
      <c r="BP64" s="209">
        <f>'SIMULADOR COM SALDO'!BQ63</f>
        <v>2.1007406898893979E-2</v>
      </c>
      <c r="BQ64" s="209">
        <f>'SIMULADOR COM SALDO'!BR63</f>
        <v>2.9000000000000001E-2</v>
      </c>
      <c r="BR64" s="209">
        <f>'SIMULADOR COM SALDO'!BS63</f>
        <v>2.9999999999999997E-4</v>
      </c>
    </row>
    <row r="65" spans="2:70" hidden="1" x14ac:dyDescent="0.25">
      <c r="B65">
        <v>28</v>
      </c>
      <c r="C65" s="13">
        <f t="shared" ca="1" si="34"/>
        <v>46001</v>
      </c>
      <c r="D65" s="14">
        <f t="shared" ca="1" si="37"/>
        <v>165.22992103893347</v>
      </c>
      <c r="E65" s="14">
        <f t="shared" ca="1" si="38"/>
        <v>149.14559244222312</v>
      </c>
      <c r="F65" s="14">
        <f t="shared" si="38"/>
        <v>0</v>
      </c>
      <c r="G65" s="14">
        <f t="shared" si="38"/>
        <v>0</v>
      </c>
      <c r="H65" s="14">
        <f t="shared" si="38"/>
        <v>0</v>
      </c>
      <c r="I65" s="14">
        <f t="shared" si="38"/>
        <v>0</v>
      </c>
      <c r="J65" s="14">
        <f t="shared" si="38"/>
        <v>0</v>
      </c>
      <c r="K65" s="14">
        <f t="shared" si="38"/>
        <v>0</v>
      </c>
      <c r="L65" s="14">
        <f t="shared" si="38"/>
        <v>0</v>
      </c>
      <c r="M65" s="224">
        <f t="shared" si="38"/>
        <v>0</v>
      </c>
      <c r="N65" s="216"/>
      <c r="O65" s="216"/>
      <c r="P65" s="161">
        <v>50</v>
      </c>
      <c r="Q65" s="161">
        <f t="shared" si="2"/>
        <v>276.85000000000002</v>
      </c>
      <c r="R65" s="161">
        <f t="shared" si="25"/>
        <v>249.9</v>
      </c>
      <c r="S65" s="161">
        <f t="shared" si="26"/>
        <v>0</v>
      </c>
      <c r="T65" s="161">
        <f t="shared" si="27"/>
        <v>0</v>
      </c>
      <c r="U65" s="161">
        <f t="shared" si="28"/>
        <v>0</v>
      </c>
      <c r="V65" s="161">
        <f t="shared" si="29"/>
        <v>0</v>
      </c>
      <c r="W65" s="161">
        <f t="shared" si="30"/>
        <v>0</v>
      </c>
      <c r="X65" s="161">
        <f t="shared" si="31"/>
        <v>0</v>
      </c>
      <c r="Y65" s="161">
        <f t="shared" si="32"/>
        <v>0</v>
      </c>
      <c r="Z65" s="161">
        <f t="shared" si="33"/>
        <v>0</v>
      </c>
      <c r="AB65" s="168">
        <v>42</v>
      </c>
      <c r="AC65" s="213">
        <f t="shared" ca="1" si="43"/>
        <v>46428</v>
      </c>
      <c r="AD65" s="214">
        <f t="shared" si="39"/>
        <v>526.75</v>
      </c>
      <c r="AE65" s="168"/>
      <c r="AF65" s="168">
        <v>42</v>
      </c>
      <c r="AG65" s="213">
        <f t="shared" ca="1" si="44"/>
        <v>46428</v>
      </c>
      <c r="AH65" s="208">
        <f t="shared" si="13"/>
        <v>6</v>
      </c>
      <c r="AI65" s="215">
        <f t="shared" ca="1" si="40"/>
        <v>2.7121860446259132</v>
      </c>
      <c r="AJ65" s="168">
        <v>42</v>
      </c>
      <c r="AK65" s="213">
        <f t="shared" ca="1" si="45"/>
        <v>46428</v>
      </c>
      <c r="AL65" s="208">
        <f t="shared" si="15"/>
        <v>532.75</v>
      </c>
      <c r="AN65" s="168">
        <v>42</v>
      </c>
      <c r="AO65" s="189">
        <f t="shared" ca="1" si="8"/>
        <v>46428</v>
      </c>
      <c r="BC65" s="186" t="str">
        <f t="shared" si="41"/>
        <v>1GOV RONDONIA</v>
      </c>
      <c r="BD65" s="186">
        <f t="shared" si="42"/>
        <v>1</v>
      </c>
      <c r="BE65" s="209" t="str">
        <f>'SIMULADOR COM SALDO'!BF64</f>
        <v>GOV RONDONIA</v>
      </c>
      <c r="BF65" s="209" t="str">
        <f>'SIMULADOR COM SALDO'!BG64</f>
        <v>775191 - Tabela 1</v>
      </c>
      <c r="BG65" s="209">
        <f>'SIMULADOR COM SALDO'!BH64</f>
        <v>2.1000000000000001E-2</v>
      </c>
      <c r="BH65" s="209">
        <f>'SIMULADOR COM SALDO'!BI64</f>
        <v>96</v>
      </c>
      <c r="BI65" s="209" t="str">
        <f>'SIMULADOR COM SALDO'!BJ64</f>
        <v/>
      </c>
      <c r="BJ65" s="209">
        <f>'SIMULADOR COM SALDO'!BK64</f>
        <v>2.1</v>
      </c>
      <c r="BK65" s="209">
        <f>'SIMULADOR COM SALDO'!BL64</f>
        <v>10</v>
      </c>
      <c r="BL65" s="209">
        <f>'SIMULADOR COM SALDO'!BM64</f>
        <v>58</v>
      </c>
      <c r="BM65" s="209" t="str">
        <f>'SIMULADOR COM SALDO'!BN64</f>
        <v>RFN - GOV. RONDONIA 1 DIG PORTAB</v>
      </c>
      <c r="BN65" s="209" t="str">
        <f>'SIMULADOR COM SALDO'!BO64</f>
        <v>1,75</v>
      </c>
      <c r="BO65" s="209">
        <f>'SIMULADOR COM SALDO'!BP64</f>
        <v>1.7500000000000002E-2</v>
      </c>
      <c r="BP65" s="209">
        <f>'SIMULADOR COM SALDO'!BQ64</f>
        <v>2.552918080891808E-2</v>
      </c>
      <c r="BQ65" s="209">
        <f>'SIMULADOR COM SALDO'!BR64</f>
        <v>2.1000000000000001E-2</v>
      </c>
      <c r="BR65" s="209">
        <f>'SIMULADOR COM SALDO'!BS64</f>
        <v>2.9999999999999997E-4</v>
      </c>
    </row>
    <row r="66" spans="2:70" hidden="1" x14ac:dyDescent="0.25">
      <c r="B66">
        <v>29</v>
      </c>
      <c r="C66" s="13">
        <f t="shared" ca="1" si="34"/>
        <v>46032</v>
      </c>
      <c r="D66" s="14">
        <f t="shared" ca="1" si="37"/>
        <v>162.08272709002975</v>
      </c>
      <c r="E66" s="14">
        <f t="shared" ca="1" si="38"/>
        <v>146.30476250604454</v>
      </c>
      <c r="F66" s="14">
        <f t="shared" si="38"/>
        <v>0</v>
      </c>
      <c r="G66" s="14">
        <f t="shared" si="38"/>
        <v>0</v>
      </c>
      <c r="H66" s="14">
        <f t="shared" si="38"/>
        <v>0</v>
      </c>
      <c r="I66" s="14">
        <f t="shared" si="38"/>
        <v>0</v>
      </c>
      <c r="J66" s="14">
        <f t="shared" si="38"/>
        <v>0</v>
      </c>
      <c r="K66" s="14">
        <f t="shared" si="38"/>
        <v>0</v>
      </c>
      <c r="L66" s="14">
        <f t="shared" si="38"/>
        <v>0</v>
      </c>
      <c r="M66" s="224">
        <f t="shared" si="38"/>
        <v>0</v>
      </c>
      <c r="N66" s="216"/>
      <c r="O66" s="216"/>
      <c r="P66" s="161">
        <v>51</v>
      </c>
      <c r="Q66" s="161">
        <f t="shared" si="2"/>
        <v>276.85000000000002</v>
      </c>
      <c r="R66" s="161">
        <f t="shared" si="25"/>
        <v>249.9</v>
      </c>
      <c r="S66" s="161">
        <f t="shared" si="26"/>
        <v>0</v>
      </c>
      <c r="T66" s="161">
        <f t="shared" si="27"/>
        <v>0</v>
      </c>
      <c r="U66" s="161">
        <f t="shared" si="28"/>
        <v>0</v>
      </c>
      <c r="V66" s="161">
        <f t="shared" si="29"/>
        <v>0</v>
      </c>
      <c r="W66" s="161">
        <f t="shared" si="30"/>
        <v>0</v>
      </c>
      <c r="X66" s="161">
        <f t="shared" si="31"/>
        <v>0</v>
      </c>
      <c r="Y66" s="161">
        <f t="shared" si="32"/>
        <v>0</v>
      </c>
      <c r="Z66" s="161">
        <f t="shared" si="33"/>
        <v>0</v>
      </c>
      <c r="AB66" s="168">
        <v>43</v>
      </c>
      <c r="AC66" s="213">
        <f t="shared" ca="1" si="43"/>
        <v>46456</v>
      </c>
      <c r="AD66" s="214">
        <f t="shared" si="39"/>
        <v>526.75</v>
      </c>
      <c r="AE66" s="168"/>
      <c r="AF66" s="168">
        <v>43</v>
      </c>
      <c r="AG66" s="213">
        <f t="shared" ca="1" si="44"/>
        <v>46456</v>
      </c>
      <c r="AH66" s="208">
        <f t="shared" si="13"/>
        <v>6</v>
      </c>
      <c r="AI66" s="215">
        <f t="shared" ca="1" si="40"/>
        <v>2.6647131320217707</v>
      </c>
      <c r="AJ66" s="168">
        <v>43</v>
      </c>
      <c r="AK66" s="213">
        <f t="shared" ca="1" si="45"/>
        <v>46456</v>
      </c>
      <c r="AL66" s="208">
        <f t="shared" si="15"/>
        <v>532.75</v>
      </c>
      <c r="AN66" s="168">
        <v>43</v>
      </c>
      <c r="AO66" s="189">
        <f t="shared" ca="1" si="8"/>
        <v>46456</v>
      </c>
      <c r="BC66" s="186" t="str">
        <f t="shared" si="41"/>
        <v>2GOV RONDONIA</v>
      </c>
      <c r="BD66" s="186">
        <f t="shared" si="42"/>
        <v>2</v>
      </c>
      <c r="BE66" s="209" t="str">
        <f>'SIMULADOR COM SALDO'!BF65</f>
        <v>GOV RONDONIA</v>
      </c>
      <c r="BF66" s="209" t="str">
        <f>'SIMULADOR COM SALDO'!BG65</f>
        <v>775192 - Tabela 2</v>
      </c>
      <c r="BG66" s="209">
        <f>'SIMULADOR COM SALDO'!BH65</f>
        <v>2.0499999999999997E-2</v>
      </c>
      <c r="BH66" s="209">
        <f>'SIMULADOR COM SALDO'!BI65</f>
        <v>96</v>
      </c>
      <c r="BI66" s="209" t="str">
        <f>'SIMULADOR COM SALDO'!BJ65</f>
        <v/>
      </c>
      <c r="BJ66" s="209">
        <f>'SIMULADOR COM SALDO'!BK65</f>
        <v>2.1</v>
      </c>
      <c r="BK66" s="209">
        <f>'SIMULADOR COM SALDO'!BL65</f>
        <v>10</v>
      </c>
      <c r="BL66" s="209">
        <f>'SIMULADOR COM SALDO'!BM65</f>
        <v>55</v>
      </c>
      <c r="BM66" s="209" t="str">
        <f>'SIMULADOR COM SALDO'!BN65</f>
        <v>RFN - GOV. RONDONIA 2 DIG PORTAB</v>
      </c>
      <c r="BN66" s="209" t="str">
        <f>'SIMULADOR COM SALDO'!BO65</f>
        <v>1,75</v>
      </c>
      <c r="BO66" s="209">
        <f>'SIMULADOR COM SALDO'!BP65</f>
        <v>1.7500000000000002E-2</v>
      </c>
      <c r="BP66" s="209">
        <f>'SIMULADOR COM SALDO'!BQ65</f>
        <v>2.5049291924639897E-2</v>
      </c>
      <c r="BQ66" s="209">
        <f>'SIMULADOR COM SALDO'!BR65</f>
        <v>2.1000000000000001E-2</v>
      </c>
      <c r="BR66" s="209">
        <f>'SIMULADOR COM SALDO'!BS65</f>
        <v>2.9999999999999997E-4</v>
      </c>
    </row>
    <row r="67" spans="2:70" hidden="1" x14ac:dyDescent="0.25">
      <c r="B67">
        <v>30</v>
      </c>
      <c r="C67" s="13">
        <f t="shared" ca="1" si="34"/>
        <v>46063</v>
      </c>
      <c r="D67" s="14">
        <f t="shared" ca="1" si="37"/>
        <v>158.99547888031012</v>
      </c>
      <c r="E67" s="14">
        <f t="shared" ca="1" si="38"/>
        <v>143.51804288311178</v>
      </c>
      <c r="F67" s="14">
        <f t="shared" si="38"/>
        <v>0</v>
      </c>
      <c r="G67" s="14">
        <f t="shared" si="38"/>
        <v>0</v>
      </c>
      <c r="H67" s="14">
        <f t="shared" si="38"/>
        <v>0</v>
      </c>
      <c r="I67" s="14">
        <f t="shared" si="38"/>
        <v>0</v>
      </c>
      <c r="J67" s="14">
        <f t="shared" si="38"/>
        <v>0</v>
      </c>
      <c r="K67" s="14">
        <f t="shared" si="38"/>
        <v>0</v>
      </c>
      <c r="L67" s="14">
        <f t="shared" si="38"/>
        <v>0</v>
      </c>
      <c r="M67" s="224">
        <f t="shared" si="38"/>
        <v>0</v>
      </c>
      <c r="N67" s="216"/>
      <c r="O67" s="216"/>
      <c r="P67" s="161">
        <v>52</v>
      </c>
      <c r="Q67" s="161">
        <f t="shared" si="2"/>
        <v>276.85000000000002</v>
      </c>
      <c r="R67" s="161">
        <f t="shared" si="25"/>
        <v>249.9</v>
      </c>
      <c r="S67" s="161">
        <f t="shared" si="26"/>
        <v>0</v>
      </c>
      <c r="T67" s="161">
        <f t="shared" si="27"/>
        <v>0</v>
      </c>
      <c r="U67" s="161">
        <f t="shared" si="28"/>
        <v>0</v>
      </c>
      <c r="V67" s="161">
        <f t="shared" si="29"/>
        <v>0</v>
      </c>
      <c r="W67" s="161">
        <f t="shared" si="30"/>
        <v>0</v>
      </c>
      <c r="X67" s="161">
        <f t="shared" si="31"/>
        <v>0</v>
      </c>
      <c r="Y67" s="161">
        <f t="shared" si="32"/>
        <v>0</v>
      </c>
      <c r="Z67" s="161">
        <f t="shared" si="33"/>
        <v>0</v>
      </c>
      <c r="AB67" s="168">
        <v>44</v>
      </c>
      <c r="AC67" s="213">
        <f t="shared" ca="1" si="43"/>
        <v>46487</v>
      </c>
      <c r="AD67" s="214">
        <f t="shared" si="39"/>
        <v>526.75</v>
      </c>
      <c r="AE67" s="168"/>
      <c r="AF67" s="168">
        <v>44</v>
      </c>
      <c r="AG67" s="213">
        <f t="shared" ca="1" si="44"/>
        <v>46487</v>
      </c>
      <c r="AH67" s="208">
        <f t="shared" si="13"/>
        <v>6</v>
      </c>
      <c r="AI67" s="215">
        <f t="shared" ca="1" si="40"/>
        <v>2.6131224868170633</v>
      </c>
      <c r="AJ67" s="168">
        <v>44</v>
      </c>
      <c r="AK67" s="213">
        <f t="shared" ca="1" si="45"/>
        <v>46487</v>
      </c>
      <c r="AL67" s="208">
        <f t="shared" si="15"/>
        <v>532.75</v>
      </c>
      <c r="AN67" s="168">
        <v>44</v>
      </c>
      <c r="AO67" s="189">
        <f t="shared" ca="1" si="8"/>
        <v>46487</v>
      </c>
      <c r="BC67" s="186" t="str">
        <f t="shared" si="41"/>
        <v xml:space="preserve">1GOV SC </v>
      </c>
      <c r="BD67" s="186">
        <f t="shared" si="42"/>
        <v>1</v>
      </c>
      <c r="BE67" s="209" t="str">
        <f>'SIMULADOR COM SALDO'!BF66</f>
        <v xml:space="preserve">GOV SC </v>
      </c>
      <c r="BF67" s="209" t="str">
        <f>'SIMULADOR COM SALDO'!BG66</f>
        <v>745166 - Tabela 1</v>
      </c>
      <c r="BG67" s="209">
        <f>'SIMULADOR COM SALDO'!BH66</f>
        <v>1.9E-2</v>
      </c>
      <c r="BH67" s="209">
        <f>'SIMULADOR COM SALDO'!BI66</f>
        <v>120</v>
      </c>
      <c r="BI67" s="209" t="str">
        <f>'SIMULADOR COM SALDO'!BJ66</f>
        <v/>
      </c>
      <c r="BJ67" s="209">
        <f>'SIMULADOR COM SALDO'!BK66</f>
        <v>2.1</v>
      </c>
      <c r="BK67" s="209">
        <f>'SIMULADOR COM SALDO'!BL66</f>
        <v>10</v>
      </c>
      <c r="BL67" s="209">
        <f>'SIMULADOR COM SALDO'!BM66</f>
        <v>53</v>
      </c>
      <c r="BM67" s="209" t="str">
        <f>'SIMULADOR COM SALDO'!BN66</f>
        <v>RFN - GOV. SC DIG 1 PORTAB</v>
      </c>
      <c r="BN67" s="209" t="str">
        <f>'SIMULADOR COM SALDO'!BO66</f>
        <v>1,3</v>
      </c>
      <c r="BO67" s="209">
        <f>'SIMULADOR COM SALDO'!BP66</f>
        <v>1.3000000000000001E-2</v>
      </c>
      <c r="BP67" s="209">
        <f>'SIMULADOR COM SALDO'!BQ66</f>
        <v>2.2174898460632659E-2</v>
      </c>
      <c r="BQ67" s="209">
        <f>'SIMULADOR COM SALDO'!BR66</f>
        <v>2.1000000000000001E-2</v>
      </c>
      <c r="BR67" s="209">
        <f>'SIMULADOR COM SALDO'!BS66</f>
        <v>2.9999999999999997E-4</v>
      </c>
    </row>
    <row r="68" spans="2:70" hidden="1" x14ac:dyDescent="0.25">
      <c r="B68">
        <v>31</v>
      </c>
      <c r="C68" s="13">
        <f t="shared" ca="1" si="34"/>
        <v>46091</v>
      </c>
      <c r="D68" s="14">
        <f t="shared" ca="1" si="37"/>
        <v>156.25757107833994</v>
      </c>
      <c r="E68" s="14">
        <f t="shared" ca="1" si="38"/>
        <v>141.04665707956346</v>
      </c>
      <c r="F68" s="14">
        <f t="shared" si="38"/>
        <v>0</v>
      </c>
      <c r="G68" s="14">
        <f t="shared" si="38"/>
        <v>0</v>
      </c>
      <c r="H68" s="14">
        <f t="shared" si="38"/>
        <v>0</v>
      </c>
      <c r="I68" s="14">
        <f t="shared" si="38"/>
        <v>0</v>
      </c>
      <c r="J68" s="14">
        <f t="shared" si="38"/>
        <v>0</v>
      </c>
      <c r="K68" s="14">
        <f t="shared" si="38"/>
        <v>0</v>
      </c>
      <c r="L68" s="14">
        <f t="shared" si="38"/>
        <v>0</v>
      </c>
      <c r="M68" s="224">
        <f t="shared" si="38"/>
        <v>0</v>
      </c>
      <c r="N68" s="216"/>
      <c r="O68" s="216"/>
      <c r="P68" s="161">
        <v>53</v>
      </c>
      <c r="Q68" s="161">
        <f t="shared" si="2"/>
        <v>276.85000000000002</v>
      </c>
      <c r="R68" s="161">
        <f t="shared" si="25"/>
        <v>249.9</v>
      </c>
      <c r="S68" s="161">
        <f t="shared" si="26"/>
        <v>0</v>
      </c>
      <c r="T68" s="161">
        <f t="shared" si="27"/>
        <v>0</v>
      </c>
      <c r="U68" s="161">
        <f t="shared" si="28"/>
        <v>0</v>
      </c>
      <c r="V68" s="161">
        <f t="shared" si="29"/>
        <v>0</v>
      </c>
      <c r="W68" s="161">
        <f t="shared" si="30"/>
        <v>0</v>
      </c>
      <c r="X68" s="161">
        <f t="shared" si="31"/>
        <v>0</v>
      </c>
      <c r="Y68" s="161">
        <f t="shared" si="32"/>
        <v>0</v>
      </c>
      <c r="Z68" s="161">
        <f t="shared" si="33"/>
        <v>0</v>
      </c>
      <c r="AB68" s="168">
        <v>45</v>
      </c>
      <c r="AC68" s="213">
        <f t="shared" ca="1" si="43"/>
        <v>46517</v>
      </c>
      <c r="AD68" s="214">
        <f t="shared" si="39"/>
        <v>526.75</v>
      </c>
      <c r="AE68" s="168"/>
      <c r="AF68" s="168">
        <v>45</v>
      </c>
      <c r="AG68" s="213">
        <f t="shared" ca="1" si="44"/>
        <v>46517</v>
      </c>
      <c r="AH68" s="208">
        <f t="shared" si="13"/>
        <v>6</v>
      </c>
      <c r="AI68" s="215">
        <f t="shared" ca="1" si="40"/>
        <v>2.5641472738858435</v>
      </c>
      <c r="AJ68" s="168">
        <v>45</v>
      </c>
      <c r="AK68" s="213">
        <f t="shared" ca="1" si="45"/>
        <v>46517</v>
      </c>
      <c r="AL68" s="208">
        <f t="shared" si="15"/>
        <v>532.75</v>
      </c>
      <c r="AN68" s="168">
        <v>45</v>
      </c>
      <c r="AO68" s="189">
        <f t="shared" ca="1" si="8"/>
        <v>46517</v>
      </c>
      <c r="BC68" s="186" t="str">
        <f t="shared" si="41"/>
        <v xml:space="preserve">2GOV SC </v>
      </c>
      <c r="BD68" s="186">
        <f t="shared" si="42"/>
        <v>2</v>
      </c>
      <c r="BE68" s="209" t="str">
        <f>'SIMULADOR COM SALDO'!BF67</f>
        <v xml:space="preserve">GOV SC </v>
      </c>
      <c r="BF68" s="209" t="str">
        <f>'SIMULADOR COM SALDO'!BG67</f>
        <v>745167 - Tabela 2</v>
      </c>
      <c r="BG68" s="209">
        <f>'SIMULADOR COM SALDO'!BH67</f>
        <v>1.8000000000000002E-2</v>
      </c>
      <c r="BH68" s="209">
        <f>'SIMULADOR COM SALDO'!BI67</f>
        <v>120</v>
      </c>
      <c r="BI68" s="209" t="str">
        <f>'SIMULADOR COM SALDO'!BJ67</f>
        <v/>
      </c>
      <c r="BJ68" s="209">
        <f>'SIMULADOR COM SALDO'!BK67</f>
        <v>2.1</v>
      </c>
      <c r="BK68" s="209">
        <f>'SIMULADOR COM SALDO'!BL67</f>
        <v>10</v>
      </c>
      <c r="BL68" s="209">
        <f>'SIMULADOR COM SALDO'!BM67</f>
        <v>53</v>
      </c>
      <c r="BM68" s="209" t="str">
        <f>'SIMULADOR COM SALDO'!BN67</f>
        <v>RFN - GOV. SC DIG 2 PORTAB</v>
      </c>
      <c r="BN68" s="209" t="str">
        <f>'SIMULADOR COM SALDO'!BO67</f>
        <v>1,3</v>
      </c>
      <c r="BO68" s="209">
        <f>'SIMULADOR COM SALDO'!BP67</f>
        <v>1.3000000000000001E-2</v>
      </c>
      <c r="BP68" s="209">
        <f>'SIMULADOR COM SALDO'!BQ67</f>
        <v>2.1302821170299791E-2</v>
      </c>
      <c r="BQ68" s="209">
        <f>'SIMULADOR COM SALDO'!BR67</f>
        <v>2.1000000000000001E-2</v>
      </c>
      <c r="BR68" s="209">
        <f>'SIMULADOR COM SALDO'!BS67</f>
        <v>2.9999999999999997E-4</v>
      </c>
    </row>
    <row r="69" spans="2:70" hidden="1" x14ac:dyDescent="0.25">
      <c r="B69">
        <v>32</v>
      </c>
      <c r="C69" s="13">
        <f t="shared" ref="C69:C100" ca="1" si="46">AC55</f>
        <v>46122</v>
      </c>
      <c r="D69" s="14">
        <f t="shared" ca="1" si="37"/>
        <v>153.28127671787558</v>
      </c>
      <c r="E69" s="14">
        <f t="shared" ca="1" si="38"/>
        <v>138.36009048870184</v>
      </c>
      <c r="F69" s="14">
        <f t="shared" si="38"/>
        <v>0</v>
      </c>
      <c r="G69" s="14">
        <f t="shared" si="38"/>
        <v>0</v>
      </c>
      <c r="H69" s="14">
        <f t="shared" si="38"/>
        <v>0</v>
      </c>
      <c r="I69" s="14">
        <f t="shared" si="38"/>
        <v>0</v>
      </c>
      <c r="J69" s="14">
        <f t="shared" si="38"/>
        <v>0</v>
      </c>
      <c r="K69" s="14">
        <f t="shared" si="38"/>
        <v>0</v>
      </c>
      <c r="L69" s="14">
        <f t="shared" si="38"/>
        <v>0</v>
      </c>
      <c r="M69" s="224">
        <f t="shared" si="38"/>
        <v>0</v>
      </c>
      <c r="N69" s="216"/>
      <c r="O69" s="216"/>
      <c r="P69" s="161">
        <v>54</v>
      </c>
      <c r="Q69" s="161">
        <f t="shared" si="2"/>
        <v>276.85000000000002</v>
      </c>
      <c r="R69" s="161">
        <f t="shared" si="25"/>
        <v>249.9</v>
      </c>
      <c r="S69" s="161">
        <f t="shared" si="26"/>
        <v>0</v>
      </c>
      <c r="T69" s="161">
        <f t="shared" si="27"/>
        <v>0</v>
      </c>
      <c r="U69" s="161">
        <f t="shared" si="28"/>
        <v>0</v>
      </c>
      <c r="V69" s="161">
        <f t="shared" si="29"/>
        <v>0</v>
      </c>
      <c r="W69" s="161">
        <f t="shared" si="30"/>
        <v>0</v>
      </c>
      <c r="X69" s="161">
        <f t="shared" si="31"/>
        <v>0</v>
      </c>
      <c r="Y69" s="161">
        <f t="shared" si="32"/>
        <v>0</v>
      </c>
      <c r="Z69" s="161">
        <f t="shared" si="33"/>
        <v>0</v>
      </c>
      <c r="AB69" s="168">
        <v>46</v>
      </c>
      <c r="AC69" s="213">
        <f t="shared" ca="1" si="43"/>
        <v>46548</v>
      </c>
      <c r="AD69" s="214">
        <f t="shared" si="39"/>
        <v>526.75</v>
      </c>
      <c r="AE69" s="168"/>
      <c r="AF69" s="168">
        <v>46</v>
      </c>
      <c r="AG69" s="213">
        <f t="shared" ca="1" si="44"/>
        <v>46548</v>
      </c>
      <c r="AH69" s="208">
        <f t="shared" si="13"/>
        <v>6</v>
      </c>
      <c r="AI69" s="215">
        <f t="shared" ca="1" si="40"/>
        <v>2.5145036515874479</v>
      </c>
      <c r="AJ69" s="168">
        <v>46</v>
      </c>
      <c r="AK69" s="213">
        <f t="shared" ca="1" si="45"/>
        <v>46548</v>
      </c>
      <c r="AL69" s="208">
        <f t="shared" si="15"/>
        <v>532.75</v>
      </c>
      <c r="AN69" s="168">
        <v>46</v>
      </c>
      <c r="AO69" s="189">
        <f t="shared" ca="1" si="8"/>
        <v>46548</v>
      </c>
      <c r="BC69" s="186" t="str">
        <f t="shared" si="41"/>
        <v xml:space="preserve">3GOV SC </v>
      </c>
      <c r="BD69" s="186">
        <f t="shared" si="42"/>
        <v>3</v>
      </c>
      <c r="BE69" s="209" t="str">
        <f>'SIMULADOR COM SALDO'!BF68</f>
        <v xml:space="preserve">GOV SC </v>
      </c>
      <c r="BF69" s="209" t="str">
        <f>'SIMULADOR COM SALDO'!BG68</f>
        <v>745168 - Tabela 3</v>
      </c>
      <c r="BG69" s="209">
        <f>'SIMULADOR COM SALDO'!BH68</f>
        <v>1.7500000000000002E-2</v>
      </c>
      <c r="BH69" s="209">
        <f>'SIMULADOR COM SALDO'!BI68</f>
        <v>120</v>
      </c>
      <c r="BI69" s="209" t="str">
        <f>'SIMULADOR COM SALDO'!BJ68</f>
        <v/>
      </c>
      <c r="BJ69" s="209">
        <f>'SIMULADOR COM SALDO'!BK68</f>
        <v>2.1</v>
      </c>
      <c r="BK69" s="209">
        <f>'SIMULADOR COM SALDO'!BL68</f>
        <v>10</v>
      </c>
      <c r="BL69" s="209">
        <f>'SIMULADOR COM SALDO'!BM68</f>
        <v>53</v>
      </c>
      <c r="BM69" s="209" t="str">
        <f>'SIMULADOR COM SALDO'!BN68</f>
        <v>RFN - GOV. SC DIG 3 PORTAB</v>
      </c>
      <c r="BN69" s="209" t="str">
        <f>'SIMULADOR COM SALDO'!BO68</f>
        <v>1,3</v>
      </c>
      <c r="BO69" s="209">
        <f>'SIMULADOR COM SALDO'!BP68</f>
        <v>1.3000000000000001E-2</v>
      </c>
      <c r="BP69" s="209">
        <f>'SIMULADOR COM SALDO'!BQ68</f>
        <v>2.0872135714110097E-2</v>
      </c>
      <c r="BQ69" s="209">
        <f>'SIMULADOR COM SALDO'!BR68</f>
        <v>2.1000000000000001E-2</v>
      </c>
      <c r="BR69" s="209">
        <f>'SIMULADOR COM SALDO'!BS68</f>
        <v>2.9999999999999997E-4</v>
      </c>
    </row>
    <row r="70" spans="2:70" hidden="1" x14ac:dyDescent="0.25">
      <c r="B70">
        <v>33</v>
      </c>
      <c r="C70" s="13">
        <f t="shared" ca="1" si="46"/>
        <v>46152</v>
      </c>
      <c r="D70" s="14">
        <f t="shared" ca="1" si="37"/>
        <v>150.45497992007694</v>
      </c>
      <c r="E70" s="14">
        <f t="shared" ref="E70:M85" ca="1" si="47">IF($B70&lt;=E$20,E$17/(($C$36+1)^(($C70-$C$37)/30)),0)</f>
        <v>135.80891992785706</v>
      </c>
      <c r="F70" s="14">
        <f t="shared" si="47"/>
        <v>0</v>
      </c>
      <c r="G70" s="14">
        <f t="shared" si="47"/>
        <v>0</v>
      </c>
      <c r="H70" s="14">
        <f t="shared" si="47"/>
        <v>0</v>
      </c>
      <c r="I70" s="14">
        <f t="shared" si="47"/>
        <v>0</v>
      </c>
      <c r="J70" s="14">
        <f t="shared" si="47"/>
        <v>0</v>
      </c>
      <c r="K70" s="14">
        <f t="shared" si="47"/>
        <v>0</v>
      </c>
      <c r="L70" s="14">
        <f t="shared" si="47"/>
        <v>0</v>
      </c>
      <c r="M70" s="224">
        <f t="shared" si="47"/>
        <v>0</v>
      </c>
      <c r="N70" s="216"/>
      <c r="O70" s="216"/>
      <c r="P70" s="161">
        <v>55</v>
      </c>
      <c r="Q70" s="161">
        <f t="shared" si="2"/>
        <v>276.85000000000002</v>
      </c>
      <c r="R70" s="161">
        <f t="shared" si="25"/>
        <v>249.9</v>
      </c>
      <c r="S70" s="161">
        <f t="shared" si="26"/>
        <v>0</v>
      </c>
      <c r="T70" s="161">
        <f t="shared" si="27"/>
        <v>0</v>
      </c>
      <c r="U70" s="161">
        <f t="shared" si="28"/>
        <v>0</v>
      </c>
      <c r="V70" s="161">
        <f t="shared" si="29"/>
        <v>0</v>
      </c>
      <c r="W70" s="161">
        <f t="shared" si="30"/>
        <v>0</v>
      </c>
      <c r="X70" s="161">
        <f t="shared" si="31"/>
        <v>0</v>
      </c>
      <c r="Y70" s="161">
        <f t="shared" si="32"/>
        <v>0</v>
      </c>
      <c r="Z70" s="161">
        <f t="shared" si="33"/>
        <v>0</v>
      </c>
      <c r="AB70" s="168">
        <v>47</v>
      </c>
      <c r="AC70" s="213">
        <f t="shared" ca="1" si="43"/>
        <v>46578</v>
      </c>
      <c r="AD70" s="214">
        <f t="shared" si="39"/>
        <v>526.75</v>
      </c>
      <c r="AE70" s="168"/>
      <c r="AF70" s="168">
        <v>47</v>
      </c>
      <c r="AG70" s="213">
        <f t="shared" ca="1" si="44"/>
        <v>46578</v>
      </c>
      <c r="AH70" s="208">
        <f t="shared" si="13"/>
        <v>6</v>
      </c>
      <c r="AI70" s="215">
        <f t="shared" ca="1" si="40"/>
        <v>2.4673767555563226</v>
      </c>
      <c r="AJ70" s="168">
        <v>47</v>
      </c>
      <c r="AK70" s="213">
        <f t="shared" ca="1" si="45"/>
        <v>46578</v>
      </c>
      <c r="AL70" s="208">
        <f t="shared" si="15"/>
        <v>532.75</v>
      </c>
      <c r="AN70" s="168">
        <v>47</v>
      </c>
      <c r="AO70" s="189">
        <f t="shared" ca="1" si="8"/>
        <v>46578</v>
      </c>
      <c r="BC70" s="186" t="str">
        <f t="shared" si="41"/>
        <v xml:space="preserve">4GOV SC </v>
      </c>
      <c r="BD70" s="186">
        <f t="shared" si="42"/>
        <v>4</v>
      </c>
      <c r="BE70" s="209" t="str">
        <f>'SIMULADOR COM SALDO'!BF69</f>
        <v xml:space="preserve">GOV SC </v>
      </c>
      <c r="BF70" s="209" t="str">
        <f>'SIMULADOR COM SALDO'!BG69</f>
        <v>745169 - Tabela 4</v>
      </c>
      <c r="BG70" s="209">
        <f>'SIMULADOR COM SALDO'!BH69</f>
        <v>1.7000000000000001E-2</v>
      </c>
      <c r="BH70" s="209">
        <f>'SIMULADOR COM SALDO'!BI69</f>
        <v>120</v>
      </c>
      <c r="BI70" s="209" t="str">
        <f>'SIMULADOR COM SALDO'!BJ69</f>
        <v/>
      </c>
      <c r="BJ70" s="209">
        <f>'SIMULADOR COM SALDO'!BK69</f>
        <v>2.1</v>
      </c>
      <c r="BK70" s="209">
        <f>'SIMULADOR COM SALDO'!BL69</f>
        <v>10</v>
      </c>
      <c r="BL70" s="209">
        <f>'SIMULADOR COM SALDO'!BM69</f>
        <v>53</v>
      </c>
      <c r="BM70" s="209" t="str">
        <f>'SIMULADOR COM SALDO'!BN69</f>
        <v>RFN - GOV. SC DIG 4 PORTAB</v>
      </c>
      <c r="BN70" s="209" t="str">
        <f>'SIMULADOR COM SALDO'!BO69</f>
        <v>1,3</v>
      </c>
      <c r="BO70" s="209">
        <f>'SIMULADOR COM SALDO'!BP69</f>
        <v>1.3000000000000001E-2</v>
      </c>
      <c r="BP70" s="209">
        <f>'SIMULADOR COM SALDO'!BQ69</f>
        <v>2.0445118940389004E-2</v>
      </c>
      <c r="BQ70" s="209">
        <f>'SIMULADOR COM SALDO'!BR69</f>
        <v>2.1000000000000001E-2</v>
      </c>
      <c r="BR70" s="209">
        <f>'SIMULADOR COM SALDO'!BS69</f>
        <v>2.9999999999999997E-4</v>
      </c>
    </row>
    <row r="71" spans="2:70" hidden="1" x14ac:dyDescent="0.25">
      <c r="B71">
        <v>34</v>
      </c>
      <c r="C71" s="13">
        <f t="shared" ca="1" si="46"/>
        <v>46183</v>
      </c>
      <c r="D71" s="14">
        <f t="shared" ca="1" si="37"/>
        <v>147.58920960795939</v>
      </c>
      <c r="E71" s="14">
        <f t="shared" ca="1" si="47"/>
        <v>133.22211840718458</v>
      </c>
      <c r="F71" s="14">
        <f t="shared" si="47"/>
        <v>0</v>
      </c>
      <c r="G71" s="14">
        <f t="shared" si="47"/>
        <v>0</v>
      </c>
      <c r="H71" s="14">
        <f t="shared" si="47"/>
        <v>0</v>
      </c>
      <c r="I71" s="14">
        <f t="shared" si="47"/>
        <v>0</v>
      </c>
      <c r="J71" s="14">
        <f t="shared" si="47"/>
        <v>0</v>
      </c>
      <c r="K71" s="14">
        <f t="shared" si="47"/>
        <v>0</v>
      </c>
      <c r="L71" s="14">
        <f t="shared" si="47"/>
        <v>0</v>
      </c>
      <c r="M71" s="224">
        <f t="shared" si="47"/>
        <v>0</v>
      </c>
      <c r="N71" s="216"/>
      <c r="O71" s="216"/>
      <c r="P71" s="161">
        <v>56</v>
      </c>
      <c r="Q71" s="161">
        <f t="shared" si="2"/>
        <v>276.85000000000002</v>
      </c>
      <c r="R71" s="161">
        <f t="shared" si="25"/>
        <v>249.9</v>
      </c>
      <c r="S71" s="161">
        <f t="shared" si="26"/>
        <v>0</v>
      </c>
      <c r="T71" s="161">
        <f t="shared" si="27"/>
        <v>0</v>
      </c>
      <c r="U71" s="161">
        <f t="shared" si="28"/>
        <v>0</v>
      </c>
      <c r="V71" s="161">
        <f t="shared" si="29"/>
        <v>0</v>
      </c>
      <c r="W71" s="161">
        <f t="shared" si="30"/>
        <v>0</v>
      </c>
      <c r="X71" s="161">
        <f t="shared" si="31"/>
        <v>0</v>
      </c>
      <c r="Y71" s="161">
        <f t="shared" si="32"/>
        <v>0</v>
      </c>
      <c r="Z71" s="161">
        <f t="shared" si="33"/>
        <v>0</v>
      </c>
      <c r="AB71" s="168">
        <v>48</v>
      </c>
      <c r="AC71" s="213">
        <f t="shared" ca="1" si="43"/>
        <v>46609</v>
      </c>
      <c r="AD71" s="214">
        <f t="shared" si="39"/>
        <v>526.75</v>
      </c>
      <c r="AE71" s="168"/>
      <c r="AF71" s="168">
        <v>48</v>
      </c>
      <c r="AG71" s="213">
        <f t="shared" ca="1" si="44"/>
        <v>46609</v>
      </c>
      <c r="AH71" s="208">
        <f t="shared" si="13"/>
        <v>6</v>
      </c>
      <c r="AI71" s="215">
        <f t="shared" ca="1" si="40"/>
        <v>2.4196066758233248</v>
      </c>
      <c r="AJ71" s="168">
        <v>48</v>
      </c>
      <c r="AK71" s="213">
        <f t="shared" ca="1" si="45"/>
        <v>46609</v>
      </c>
      <c r="AL71" s="208">
        <f t="shared" si="15"/>
        <v>532.75</v>
      </c>
      <c r="AN71" s="168">
        <v>48</v>
      </c>
      <c r="AO71" s="189">
        <f t="shared" ca="1" si="8"/>
        <v>46609</v>
      </c>
      <c r="BC71" s="186" t="str">
        <f t="shared" si="41"/>
        <v>1GOV SP - SEFAZ</v>
      </c>
      <c r="BD71" s="186">
        <f t="shared" si="42"/>
        <v>1</v>
      </c>
      <c r="BE71" s="209" t="str">
        <f>'SIMULADOR COM SALDO'!BF70</f>
        <v>GOV SP - SEFAZ</v>
      </c>
      <c r="BF71" s="209" t="str">
        <f>'SIMULADOR COM SALDO'!BG70</f>
        <v>704040 - Tabela 1</v>
      </c>
      <c r="BG71" s="209">
        <f>'SIMULADOR COM SALDO'!BH70</f>
        <v>2.29E-2</v>
      </c>
      <c r="BH71" s="209">
        <f>'SIMULADOR COM SALDO'!BI70</f>
        <v>96</v>
      </c>
      <c r="BI71" s="209" t="str">
        <f>'SIMULADOR COM SALDO'!BJ70</f>
        <v/>
      </c>
      <c r="BJ71" s="209">
        <f>'SIMULADOR COM SALDO'!BK70</f>
        <v>2.29</v>
      </c>
      <c r="BK71" s="209">
        <f>'SIMULADOR COM SALDO'!BL70</f>
        <v>10</v>
      </c>
      <c r="BL71" s="209">
        <f>'SIMULADOR COM SALDO'!BM70</f>
        <v>54</v>
      </c>
      <c r="BM71" s="209" t="str">
        <f>'SIMULADOR COM SALDO'!BN70</f>
        <v>RFN - GOV SP - SEFAZ 1 DIG PORTAB PLUS</v>
      </c>
      <c r="BN71" s="209" t="str">
        <f>'SIMULADOR COM SALDO'!BO70</f>
        <v>1,44</v>
      </c>
      <c r="BO71" s="209">
        <f>'SIMULADOR COM SALDO'!BP70</f>
        <v>1.44E-2</v>
      </c>
      <c r="BP71" s="209">
        <f>'SIMULADOR COM SALDO'!BQ70</f>
        <v>2.7105836834839466E-2</v>
      </c>
      <c r="BQ71" s="209">
        <f>'SIMULADOR COM SALDO'!BR70</f>
        <v>2.29E-2</v>
      </c>
      <c r="BR71" s="209">
        <f>'SIMULADOR COM SALDO'!BS70</f>
        <v>2.9999999999999997E-4</v>
      </c>
    </row>
    <row r="72" spans="2:70" hidden="1" x14ac:dyDescent="0.25">
      <c r="B72">
        <v>35</v>
      </c>
      <c r="C72" s="13">
        <f t="shared" ca="1" si="46"/>
        <v>46213</v>
      </c>
      <c r="D72" s="14">
        <f t="shared" ca="1" si="37"/>
        <v>144.86786673140986</v>
      </c>
      <c r="E72" s="14">
        <f t="shared" ca="1" si="47"/>
        <v>130.76568501419297</v>
      </c>
      <c r="F72" s="14">
        <f t="shared" si="47"/>
        <v>0</v>
      </c>
      <c r="G72" s="14">
        <f t="shared" si="47"/>
        <v>0</v>
      </c>
      <c r="H72" s="14">
        <f t="shared" si="47"/>
        <v>0</v>
      </c>
      <c r="I72" s="14">
        <f t="shared" si="47"/>
        <v>0</v>
      </c>
      <c r="J72" s="14">
        <f t="shared" si="47"/>
        <v>0</v>
      </c>
      <c r="K72" s="14">
        <f t="shared" si="47"/>
        <v>0</v>
      </c>
      <c r="L72" s="14">
        <f t="shared" si="47"/>
        <v>0</v>
      </c>
      <c r="M72" s="224">
        <f t="shared" si="47"/>
        <v>0</v>
      </c>
      <c r="N72" s="216"/>
      <c r="O72" s="216"/>
      <c r="P72" s="161">
        <v>57</v>
      </c>
      <c r="Q72" s="161">
        <f t="shared" si="2"/>
        <v>276.85000000000002</v>
      </c>
      <c r="R72" s="161">
        <f t="shared" si="25"/>
        <v>249.9</v>
      </c>
      <c r="S72" s="161">
        <f t="shared" si="26"/>
        <v>0</v>
      </c>
      <c r="T72" s="161">
        <f t="shared" si="27"/>
        <v>0</v>
      </c>
      <c r="U72" s="161">
        <f t="shared" si="28"/>
        <v>0</v>
      </c>
      <c r="V72" s="161">
        <f t="shared" si="29"/>
        <v>0</v>
      </c>
      <c r="W72" s="161">
        <f t="shared" si="30"/>
        <v>0</v>
      </c>
      <c r="X72" s="161">
        <f t="shared" si="31"/>
        <v>0</v>
      </c>
      <c r="Y72" s="161">
        <f t="shared" si="32"/>
        <v>0</v>
      </c>
      <c r="Z72" s="161">
        <f t="shared" si="33"/>
        <v>0</v>
      </c>
      <c r="AB72" s="168">
        <v>49</v>
      </c>
      <c r="AC72" s="213">
        <f t="shared" ca="1" si="43"/>
        <v>46640</v>
      </c>
      <c r="AD72" s="214">
        <f t="shared" si="39"/>
        <v>526.75</v>
      </c>
      <c r="AE72" s="168"/>
      <c r="AF72" s="168">
        <v>49</v>
      </c>
      <c r="AG72" s="213">
        <f t="shared" ca="1" si="44"/>
        <v>46640</v>
      </c>
      <c r="AH72" s="208">
        <f t="shared" si="13"/>
        <v>6</v>
      </c>
      <c r="AI72" s="215">
        <f t="shared" ca="1" si="40"/>
        <v>2.3727614570839113</v>
      </c>
      <c r="AJ72" s="168">
        <v>49</v>
      </c>
      <c r="AK72" s="213">
        <f t="shared" ca="1" si="45"/>
        <v>46640</v>
      </c>
      <c r="AL72" s="208">
        <f t="shared" si="15"/>
        <v>532.75</v>
      </c>
      <c r="AN72" s="168">
        <v>49</v>
      </c>
      <c r="AO72" s="189">
        <f t="shared" ca="1" si="8"/>
        <v>46640</v>
      </c>
      <c r="BC72" s="186" t="str">
        <f t="shared" si="41"/>
        <v>2GOV SP - SEFAZ</v>
      </c>
      <c r="BD72" s="186">
        <f t="shared" si="42"/>
        <v>2</v>
      </c>
      <c r="BE72" s="209" t="str">
        <f>'SIMULADOR COM SALDO'!BF71</f>
        <v>GOV SP - SEFAZ</v>
      </c>
      <c r="BF72" s="209" t="str">
        <f>'SIMULADOR COM SALDO'!BG71</f>
        <v>704042 - Tabela 2</v>
      </c>
      <c r="BG72" s="209">
        <f>'SIMULADOR COM SALDO'!BH71</f>
        <v>2.1899999999999999E-2</v>
      </c>
      <c r="BH72" s="209">
        <f>'SIMULADOR COM SALDO'!BI71</f>
        <v>96</v>
      </c>
      <c r="BI72" s="209" t="str">
        <f>'SIMULADOR COM SALDO'!BJ71</f>
        <v/>
      </c>
      <c r="BJ72" s="209">
        <f>'SIMULADOR COM SALDO'!BK71</f>
        <v>2.29</v>
      </c>
      <c r="BK72" s="209">
        <f>'SIMULADOR COM SALDO'!BL71</f>
        <v>10</v>
      </c>
      <c r="BL72" s="209">
        <f>'SIMULADOR COM SALDO'!BM71</f>
        <v>41</v>
      </c>
      <c r="BM72" s="209" t="str">
        <f>'SIMULADOR COM SALDO'!BN71</f>
        <v>RFN - GOV SP - SEFAZ 2 DIG PORTAB PLUS</v>
      </c>
      <c r="BN72" s="209" t="str">
        <f>'SIMULADOR COM SALDO'!BO71</f>
        <v>1,44</v>
      </c>
      <c r="BO72" s="209">
        <f>'SIMULADOR COM SALDO'!BP71</f>
        <v>1.44E-2</v>
      </c>
      <c r="BP72" s="209">
        <f>'SIMULADOR COM SALDO'!BQ71</f>
        <v>2.5988313099792909E-2</v>
      </c>
      <c r="BQ72" s="209">
        <f>'SIMULADOR COM SALDO'!BR71</f>
        <v>2.29E-2</v>
      </c>
      <c r="BR72" s="209">
        <f>'SIMULADOR COM SALDO'!BS71</f>
        <v>2.9999999999999997E-4</v>
      </c>
    </row>
    <row r="73" spans="2:70" hidden="1" x14ac:dyDescent="0.25">
      <c r="B73">
        <v>36</v>
      </c>
      <c r="C73" s="13">
        <f t="shared" ca="1" si="46"/>
        <v>46244</v>
      </c>
      <c r="D73" s="14">
        <f t="shared" ca="1" si="37"/>
        <v>142.10851618097138</v>
      </c>
      <c r="E73" s="14">
        <f t="shared" ca="1" si="47"/>
        <v>128.27494380937239</v>
      </c>
      <c r="F73" s="14">
        <f t="shared" si="47"/>
        <v>0</v>
      </c>
      <c r="G73" s="14">
        <f t="shared" si="47"/>
        <v>0</v>
      </c>
      <c r="H73" s="14">
        <f t="shared" si="47"/>
        <v>0</v>
      </c>
      <c r="I73" s="14">
        <f t="shared" si="47"/>
        <v>0</v>
      </c>
      <c r="J73" s="14">
        <f t="shared" si="47"/>
        <v>0</v>
      </c>
      <c r="K73" s="14">
        <f t="shared" si="47"/>
        <v>0</v>
      </c>
      <c r="L73" s="14">
        <f t="shared" si="47"/>
        <v>0</v>
      </c>
      <c r="M73" s="224">
        <f t="shared" si="47"/>
        <v>0</v>
      </c>
      <c r="N73" s="216"/>
      <c r="O73" s="216"/>
      <c r="P73" s="161">
        <v>58</v>
      </c>
      <c r="Q73" s="161">
        <f t="shared" si="2"/>
        <v>276.85000000000002</v>
      </c>
      <c r="R73" s="161">
        <f t="shared" si="25"/>
        <v>249.9</v>
      </c>
      <c r="S73" s="161">
        <f t="shared" si="26"/>
        <v>0</v>
      </c>
      <c r="T73" s="161">
        <f t="shared" si="27"/>
        <v>0</v>
      </c>
      <c r="U73" s="161">
        <f t="shared" si="28"/>
        <v>0</v>
      </c>
      <c r="V73" s="161">
        <f t="shared" si="29"/>
        <v>0</v>
      </c>
      <c r="W73" s="161">
        <f t="shared" si="30"/>
        <v>0</v>
      </c>
      <c r="X73" s="161">
        <f t="shared" si="31"/>
        <v>0</v>
      </c>
      <c r="Y73" s="161">
        <f t="shared" si="32"/>
        <v>0</v>
      </c>
      <c r="Z73" s="161">
        <f t="shared" si="33"/>
        <v>0</v>
      </c>
      <c r="AB73" s="168">
        <v>50</v>
      </c>
      <c r="AC73" s="213">
        <f t="shared" ca="1" si="43"/>
        <v>46670</v>
      </c>
      <c r="AD73" s="214">
        <f t="shared" si="39"/>
        <v>526.75</v>
      </c>
      <c r="AE73" s="168"/>
      <c r="AF73" s="168">
        <v>50</v>
      </c>
      <c r="AG73" s="213">
        <f t="shared" ca="1" si="44"/>
        <v>46670</v>
      </c>
      <c r="AH73" s="208">
        <f t="shared" si="13"/>
        <v>6</v>
      </c>
      <c r="AI73" s="215">
        <f t="shared" ca="1" si="40"/>
        <v>2.3282910971287523</v>
      </c>
      <c r="AJ73" s="168">
        <v>50</v>
      </c>
      <c r="AK73" s="213">
        <f t="shared" ca="1" si="45"/>
        <v>46670</v>
      </c>
      <c r="AL73" s="208">
        <f t="shared" si="15"/>
        <v>532.75</v>
      </c>
      <c r="AN73" s="168">
        <v>50</v>
      </c>
      <c r="AO73" s="189">
        <f t="shared" ca="1" si="8"/>
        <v>46670</v>
      </c>
      <c r="BC73" s="186" t="str">
        <f t="shared" si="41"/>
        <v>3GOV SP - SEFAZ</v>
      </c>
      <c r="BD73" s="186">
        <f t="shared" si="42"/>
        <v>3</v>
      </c>
      <c r="BE73" s="209" t="str">
        <f>'SIMULADOR COM SALDO'!BF72</f>
        <v>GOV SP - SEFAZ</v>
      </c>
      <c r="BF73" s="209" t="str">
        <f>'SIMULADOR COM SALDO'!BG72</f>
        <v>704043 - Tabela 3</v>
      </c>
      <c r="BG73" s="209">
        <f>'SIMULADOR COM SALDO'!BH72</f>
        <v>2.0899999999999998E-2</v>
      </c>
      <c r="BH73" s="209">
        <f>'SIMULADOR COM SALDO'!BI72</f>
        <v>96</v>
      </c>
      <c r="BI73" s="209" t="str">
        <f>'SIMULADOR COM SALDO'!BJ72</f>
        <v/>
      </c>
      <c r="BJ73" s="209">
        <f>'SIMULADOR COM SALDO'!BK72</f>
        <v>2.29</v>
      </c>
      <c r="BK73" s="209">
        <f>'SIMULADOR COM SALDO'!BL72</f>
        <v>10</v>
      </c>
      <c r="BL73" s="209">
        <f>'SIMULADOR COM SALDO'!BM72</f>
        <v>44</v>
      </c>
      <c r="BM73" s="209" t="str">
        <f>'SIMULADOR COM SALDO'!BN72</f>
        <v>RFN - GOV SP - SEFAZ 3 DIG PORTAB PLUS</v>
      </c>
      <c r="BN73" s="209" t="str">
        <f>'SIMULADOR COM SALDO'!BO72</f>
        <v>1,44</v>
      </c>
      <c r="BO73" s="209">
        <f>'SIMULADOR COM SALDO'!BP72</f>
        <v>1.44E-2</v>
      </c>
      <c r="BP73" s="209">
        <f>'SIMULADOR COM SALDO'!BQ72</f>
        <v>2.5198709611198428E-2</v>
      </c>
      <c r="BQ73" s="209">
        <f>'SIMULADOR COM SALDO'!BR72</f>
        <v>2.29E-2</v>
      </c>
      <c r="BR73" s="209">
        <f>'SIMULADOR COM SALDO'!BS72</f>
        <v>2.9999999999999997E-4</v>
      </c>
    </row>
    <row r="74" spans="2:70" hidden="1" x14ac:dyDescent="0.25">
      <c r="B74">
        <v>37</v>
      </c>
      <c r="C74" s="13">
        <f t="shared" ca="1" si="46"/>
        <v>46275</v>
      </c>
      <c r="D74" s="14">
        <f t="shared" ca="1" si="37"/>
        <v>139.40172397650704</v>
      </c>
      <c r="E74" s="14">
        <f t="shared" ca="1" si="47"/>
        <v>125.83164465136034</v>
      </c>
      <c r="F74" s="14">
        <f t="shared" si="47"/>
        <v>0</v>
      </c>
      <c r="G74" s="14">
        <f t="shared" si="47"/>
        <v>0</v>
      </c>
      <c r="H74" s="14">
        <f t="shared" si="47"/>
        <v>0</v>
      </c>
      <c r="I74" s="14">
        <f t="shared" si="47"/>
        <v>0</v>
      </c>
      <c r="J74" s="14">
        <f t="shared" si="47"/>
        <v>0</v>
      </c>
      <c r="K74" s="14">
        <f t="shared" si="47"/>
        <v>0</v>
      </c>
      <c r="L74" s="14">
        <f t="shared" si="47"/>
        <v>0</v>
      </c>
      <c r="M74" s="224">
        <f t="shared" si="47"/>
        <v>0</v>
      </c>
      <c r="N74" s="216"/>
      <c r="O74" s="216"/>
      <c r="P74" s="161">
        <v>59</v>
      </c>
      <c r="Q74" s="161">
        <f t="shared" si="2"/>
        <v>276.85000000000002</v>
      </c>
      <c r="R74" s="161">
        <f t="shared" si="25"/>
        <v>249.9</v>
      </c>
      <c r="S74" s="161">
        <f t="shared" si="26"/>
        <v>0</v>
      </c>
      <c r="T74" s="161">
        <f t="shared" si="27"/>
        <v>0</v>
      </c>
      <c r="U74" s="161">
        <f t="shared" si="28"/>
        <v>0</v>
      </c>
      <c r="V74" s="161">
        <f t="shared" si="29"/>
        <v>0</v>
      </c>
      <c r="W74" s="161">
        <f t="shared" si="30"/>
        <v>0</v>
      </c>
      <c r="X74" s="161">
        <f t="shared" si="31"/>
        <v>0</v>
      </c>
      <c r="Y74" s="161">
        <f t="shared" si="32"/>
        <v>0</v>
      </c>
      <c r="Z74" s="161">
        <f t="shared" si="33"/>
        <v>0</v>
      </c>
      <c r="AB74" s="168">
        <v>51</v>
      </c>
      <c r="AC74" s="213">
        <f t="shared" ca="1" si="43"/>
        <v>46701</v>
      </c>
      <c r="AD74" s="214">
        <f t="shared" si="39"/>
        <v>526.75</v>
      </c>
      <c r="AE74" s="168"/>
      <c r="AF74" s="168">
        <v>51</v>
      </c>
      <c r="AG74" s="213">
        <f t="shared" ca="1" si="44"/>
        <v>46701</v>
      </c>
      <c r="AH74" s="208">
        <f t="shared" si="13"/>
        <v>6</v>
      </c>
      <c r="AI74" s="215">
        <f t="shared" ca="1" si="40"/>
        <v>2.2832138096407313</v>
      </c>
      <c r="AJ74" s="168">
        <v>51</v>
      </c>
      <c r="AK74" s="213">
        <f t="shared" ca="1" si="45"/>
        <v>46701</v>
      </c>
      <c r="AL74" s="208">
        <f t="shared" si="15"/>
        <v>532.75</v>
      </c>
      <c r="AN74" s="168">
        <v>51</v>
      </c>
      <c r="AO74" s="189">
        <f t="shared" ca="1" si="8"/>
        <v>46701</v>
      </c>
      <c r="BC74" s="186" t="str">
        <f t="shared" si="41"/>
        <v>4GOV SP - SEFAZ</v>
      </c>
      <c r="BD74" s="186">
        <f t="shared" si="42"/>
        <v>4</v>
      </c>
      <c r="BE74" s="209" t="str">
        <f>'SIMULADOR COM SALDO'!BF73</f>
        <v>GOV SP - SEFAZ</v>
      </c>
      <c r="BF74" s="209" t="str">
        <f>'SIMULADOR COM SALDO'!BG73</f>
        <v>704044 - Tabela 4</v>
      </c>
      <c r="BG74" s="209">
        <f>'SIMULADOR COM SALDO'!BH73</f>
        <v>1.9900000000000001E-2</v>
      </c>
      <c r="BH74" s="209">
        <f>'SIMULADOR COM SALDO'!BI73</f>
        <v>96</v>
      </c>
      <c r="BI74" s="209" t="str">
        <f>'SIMULADOR COM SALDO'!BJ73</f>
        <v/>
      </c>
      <c r="BJ74" s="209">
        <f>'SIMULADOR COM SALDO'!BK73</f>
        <v>2.29</v>
      </c>
      <c r="BK74" s="209">
        <f>'SIMULADOR COM SALDO'!BL73</f>
        <v>10</v>
      </c>
      <c r="BL74" s="209">
        <f>'SIMULADOR COM SALDO'!BM73</f>
        <v>42</v>
      </c>
      <c r="BM74" s="209" t="str">
        <f>'SIMULADOR COM SALDO'!BN73</f>
        <v>RFN - GOV SP - SEFAZ 4 DIG PORTAB PLUS</v>
      </c>
      <c r="BN74" s="209" t="str">
        <f>'SIMULADOR COM SALDO'!BO73</f>
        <v>1,44</v>
      </c>
      <c r="BO74" s="209">
        <f>'SIMULADOR COM SALDO'!BP73</f>
        <v>1.44E-2</v>
      </c>
      <c r="BP74" s="209">
        <f>'SIMULADOR COM SALDO'!BQ73</f>
        <v>2.4332539141167741E-2</v>
      </c>
      <c r="BQ74" s="209">
        <f>'SIMULADOR COM SALDO'!BR73</f>
        <v>2.29E-2</v>
      </c>
      <c r="BR74" s="209">
        <f>'SIMULADOR COM SALDO'!BS73</f>
        <v>2.9999999999999997E-4</v>
      </c>
    </row>
    <row r="75" spans="2:70" hidden="1" x14ac:dyDescent="0.25">
      <c r="B75">
        <v>38</v>
      </c>
      <c r="C75" s="13">
        <f t="shared" ca="1" si="46"/>
        <v>46305</v>
      </c>
      <c r="D75" s="14">
        <f t="shared" ca="1" si="37"/>
        <v>136.83134712084203</v>
      </c>
      <c r="E75" s="14">
        <f t="shared" ca="1" si="47"/>
        <v>123.51148147191049</v>
      </c>
      <c r="F75" s="14">
        <f t="shared" si="47"/>
        <v>0</v>
      </c>
      <c r="G75" s="14">
        <f t="shared" si="47"/>
        <v>0</v>
      </c>
      <c r="H75" s="14">
        <f t="shared" si="47"/>
        <v>0</v>
      </c>
      <c r="I75" s="14">
        <f t="shared" si="47"/>
        <v>0</v>
      </c>
      <c r="J75" s="14">
        <f t="shared" si="47"/>
        <v>0</v>
      </c>
      <c r="K75" s="14">
        <f t="shared" si="47"/>
        <v>0</v>
      </c>
      <c r="L75" s="14">
        <f t="shared" si="47"/>
        <v>0</v>
      </c>
      <c r="M75" s="224">
        <f t="shared" si="47"/>
        <v>0</v>
      </c>
      <c r="N75" s="216"/>
      <c r="O75" s="216"/>
      <c r="P75" s="161">
        <v>60</v>
      </c>
      <c r="Q75" s="161">
        <f t="shared" si="2"/>
        <v>276.85000000000002</v>
      </c>
      <c r="R75" s="161">
        <f t="shared" si="25"/>
        <v>249.9</v>
      </c>
      <c r="S75" s="161">
        <f t="shared" si="26"/>
        <v>0</v>
      </c>
      <c r="T75" s="161">
        <f t="shared" si="27"/>
        <v>0</v>
      </c>
      <c r="U75" s="161">
        <f t="shared" si="28"/>
        <v>0</v>
      </c>
      <c r="V75" s="161">
        <f t="shared" si="29"/>
        <v>0</v>
      </c>
      <c r="W75" s="161">
        <f t="shared" si="30"/>
        <v>0</v>
      </c>
      <c r="X75" s="161">
        <f t="shared" si="31"/>
        <v>0</v>
      </c>
      <c r="Y75" s="161">
        <f t="shared" si="32"/>
        <v>0</v>
      </c>
      <c r="Z75" s="161">
        <f t="shared" si="33"/>
        <v>0</v>
      </c>
      <c r="AB75" s="168">
        <v>52</v>
      </c>
      <c r="AC75" s="213">
        <f t="shared" ca="1" si="43"/>
        <v>46731</v>
      </c>
      <c r="AD75" s="214">
        <f t="shared" si="39"/>
        <v>526.75</v>
      </c>
      <c r="AE75" s="168"/>
      <c r="AF75" s="168">
        <v>52</v>
      </c>
      <c r="AG75" s="213">
        <f t="shared" ca="1" si="44"/>
        <v>46731</v>
      </c>
      <c r="AH75" s="208">
        <f t="shared" si="13"/>
        <v>6</v>
      </c>
      <c r="AI75" s="215">
        <f t="shared" ca="1" si="40"/>
        <v>2.2404217541367206</v>
      </c>
      <c r="AJ75" s="168">
        <v>52</v>
      </c>
      <c r="AK75" s="213">
        <f t="shared" ca="1" si="45"/>
        <v>46731</v>
      </c>
      <c r="AL75" s="208">
        <f t="shared" si="15"/>
        <v>532.75</v>
      </c>
      <c r="AN75" s="168">
        <v>52</v>
      </c>
      <c r="AO75" s="189">
        <f t="shared" ca="1" si="8"/>
        <v>46731</v>
      </c>
      <c r="BC75" s="186" t="str">
        <f t="shared" si="41"/>
        <v>5GOV SP - SEFAZ</v>
      </c>
      <c r="BD75" s="186">
        <f t="shared" si="42"/>
        <v>5</v>
      </c>
      <c r="BE75" s="209" t="str">
        <f>'SIMULADOR COM SALDO'!BF74</f>
        <v>GOV SP - SEFAZ</v>
      </c>
      <c r="BF75" s="209" t="str">
        <f>'SIMULADOR COM SALDO'!BG74</f>
        <v>704045 - Tabela 5</v>
      </c>
      <c r="BG75" s="209">
        <f>'SIMULADOR COM SALDO'!BH74</f>
        <v>1.8500000000000003E-2</v>
      </c>
      <c r="BH75" s="209">
        <f>'SIMULADOR COM SALDO'!BI74</f>
        <v>96</v>
      </c>
      <c r="BI75" s="209" t="str">
        <f>'SIMULADOR COM SALDO'!BJ74</f>
        <v/>
      </c>
      <c r="BJ75" s="209">
        <f>'SIMULADOR COM SALDO'!BK74</f>
        <v>2.29</v>
      </c>
      <c r="BK75" s="209">
        <f>'SIMULADOR COM SALDO'!BL74</f>
        <v>10</v>
      </c>
      <c r="BL75" s="209">
        <f>'SIMULADOR COM SALDO'!BM74</f>
        <v>46</v>
      </c>
      <c r="BM75" s="209" t="str">
        <f>'SIMULADOR COM SALDO'!BN74</f>
        <v>RFN - GOV SP - SEFAZ 5 DIG PORTAB PLUS</v>
      </c>
      <c r="BN75" s="209" t="str">
        <f>'SIMULADOR COM SALDO'!BO74</f>
        <v>1,44</v>
      </c>
      <c r="BO75" s="209">
        <f>'SIMULADOR COM SALDO'!BP74</f>
        <v>1.44E-2</v>
      </c>
      <c r="BP75" s="209">
        <f>'SIMULADOR COM SALDO'!BQ74</f>
        <v>2.3245575330762498E-2</v>
      </c>
      <c r="BQ75" s="209">
        <f>'SIMULADOR COM SALDO'!BR74</f>
        <v>2.29E-2</v>
      </c>
      <c r="BR75" s="209">
        <f>'SIMULADOR COM SALDO'!BS74</f>
        <v>2.9999999999999997E-4</v>
      </c>
    </row>
    <row r="76" spans="2:70" hidden="1" x14ac:dyDescent="0.25">
      <c r="B76">
        <v>39</v>
      </c>
      <c r="C76" s="13">
        <f t="shared" ca="1" si="46"/>
        <v>46336</v>
      </c>
      <c r="D76" s="14">
        <f t="shared" ca="1" si="37"/>
        <v>134.22507106036025</v>
      </c>
      <c r="E76" s="14">
        <f t="shared" ca="1" si="47"/>
        <v>121.15891370050218</v>
      </c>
      <c r="F76" s="14">
        <f t="shared" si="47"/>
        <v>0</v>
      </c>
      <c r="G76" s="14">
        <f t="shared" si="47"/>
        <v>0</v>
      </c>
      <c r="H76" s="14">
        <f t="shared" si="47"/>
        <v>0</v>
      </c>
      <c r="I76" s="14">
        <f t="shared" si="47"/>
        <v>0</v>
      </c>
      <c r="J76" s="14">
        <f t="shared" si="47"/>
        <v>0</v>
      </c>
      <c r="K76" s="14">
        <f t="shared" si="47"/>
        <v>0</v>
      </c>
      <c r="L76" s="14">
        <f t="shared" si="47"/>
        <v>0</v>
      </c>
      <c r="M76" s="224">
        <f t="shared" si="47"/>
        <v>0</v>
      </c>
      <c r="N76" s="216"/>
      <c r="O76" s="216"/>
      <c r="P76" s="161">
        <v>61</v>
      </c>
      <c r="Q76" s="161">
        <f t="shared" si="2"/>
        <v>0</v>
      </c>
      <c r="R76" s="161">
        <f t="shared" si="25"/>
        <v>0</v>
      </c>
      <c r="S76" s="161">
        <f t="shared" si="26"/>
        <v>0</v>
      </c>
      <c r="T76" s="161">
        <f t="shared" si="27"/>
        <v>0</v>
      </c>
      <c r="U76" s="161">
        <f t="shared" si="28"/>
        <v>0</v>
      </c>
      <c r="V76" s="161">
        <f t="shared" si="29"/>
        <v>0</v>
      </c>
      <c r="W76" s="161">
        <f t="shared" si="30"/>
        <v>0</v>
      </c>
      <c r="X76" s="161">
        <f t="shared" si="31"/>
        <v>0</v>
      </c>
      <c r="Y76" s="161">
        <f t="shared" si="32"/>
        <v>0</v>
      </c>
      <c r="Z76" s="161">
        <f t="shared" si="33"/>
        <v>0</v>
      </c>
      <c r="AB76" s="168">
        <v>53</v>
      </c>
      <c r="AC76" s="213">
        <f t="shared" ca="1" si="43"/>
        <v>46762</v>
      </c>
      <c r="AD76" s="214">
        <f t="shared" si="39"/>
        <v>526.75</v>
      </c>
      <c r="AE76" s="168"/>
      <c r="AF76" s="168">
        <v>53</v>
      </c>
      <c r="AG76" s="213">
        <f t="shared" ca="1" si="44"/>
        <v>46762</v>
      </c>
      <c r="AH76" s="208">
        <f t="shared" si="13"/>
        <v>6</v>
      </c>
      <c r="AI76" s="215">
        <f t="shared" ca="1" si="40"/>
        <v>2.1970456764503092</v>
      </c>
      <c r="AJ76" s="168">
        <v>53</v>
      </c>
      <c r="AK76" s="213">
        <f t="shared" ca="1" si="45"/>
        <v>46762</v>
      </c>
      <c r="AL76" s="208">
        <f t="shared" si="15"/>
        <v>532.75</v>
      </c>
      <c r="AN76" s="168">
        <v>53</v>
      </c>
      <c r="AO76" s="189">
        <f t="shared" ca="1" si="8"/>
        <v>46762</v>
      </c>
      <c r="BC76" s="186" t="str">
        <f t="shared" si="41"/>
        <v>1GOV SP - SPPREV</v>
      </c>
      <c r="BD76" s="186">
        <f t="shared" si="42"/>
        <v>1</v>
      </c>
      <c r="BE76" s="209" t="str">
        <f>'SIMULADOR COM SALDO'!BF75</f>
        <v>GOV SP - SPPREV</v>
      </c>
      <c r="BF76" s="209" t="str">
        <f>'SIMULADOR COM SALDO'!BG75</f>
        <v>774028 - Tabela 1</v>
      </c>
      <c r="BG76" s="209">
        <f>'SIMULADOR COM SALDO'!BH75</f>
        <v>2.29E-2</v>
      </c>
      <c r="BH76" s="209">
        <f>'SIMULADOR COM SALDO'!BI75</f>
        <v>96</v>
      </c>
      <c r="BI76" s="209" t="str">
        <f>'SIMULADOR COM SALDO'!BJ75</f>
        <v/>
      </c>
      <c r="BJ76" s="209">
        <f>'SIMULADOR COM SALDO'!BK75</f>
        <v>2.29</v>
      </c>
      <c r="BK76" s="209">
        <f>'SIMULADOR COM SALDO'!BL75</f>
        <v>10</v>
      </c>
      <c r="BL76" s="209">
        <f>'SIMULADOR COM SALDO'!BM75</f>
        <v>49</v>
      </c>
      <c r="BM76" s="209" t="str">
        <f>'SIMULADOR COM SALDO'!BN75</f>
        <v>RFN - GOV SP - SPPREV 1 DIG PORTAB PLUS</v>
      </c>
      <c r="BN76" s="209" t="str">
        <f>'SIMULADOR COM SALDO'!BO75</f>
        <v>1,44</v>
      </c>
      <c r="BO76" s="209">
        <f>'SIMULADOR COM SALDO'!BP75</f>
        <v>1.44E-2</v>
      </c>
      <c r="BP76" s="209">
        <f>'SIMULADOR COM SALDO'!BQ75</f>
        <v>2.7003742413512367E-2</v>
      </c>
      <c r="BQ76" s="209">
        <f>'SIMULADOR COM SALDO'!BR75</f>
        <v>2.29E-2</v>
      </c>
      <c r="BR76" s="209">
        <f>'SIMULADOR COM SALDO'!BS75</f>
        <v>2.9999999999999997E-4</v>
      </c>
    </row>
    <row r="77" spans="2:70" hidden="1" x14ac:dyDescent="0.25">
      <c r="B77">
        <v>40</v>
      </c>
      <c r="C77" s="13">
        <f t="shared" ca="1" si="46"/>
        <v>46366</v>
      </c>
      <c r="D77" s="14">
        <f t="shared" ca="1" si="37"/>
        <v>131.75014459415897</v>
      </c>
      <c r="E77" s="14">
        <f t="shared" ca="1" si="47"/>
        <v>118.92490927968332</v>
      </c>
      <c r="F77" s="14">
        <f t="shared" si="47"/>
        <v>0</v>
      </c>
      <c r="G77" s="14">
        <f t="shared" si="47"/>
        <v>0</v>
      </c>
      <c r="H77" s="14">
        <f t="shared" si="47"/>
        <v>0</v>
      </c>
      <c r="I77" s="14">
        <f t="shared" si="47"/>
        <v>0</v>
      </c>
      <c r="J77" s="14">
        <f t="shared" si="47"/>
        <v>0</v>
      </c>
      <c r="K77" s="14">
        <f t="shared" si="47"/>
        <v>0</v>
      </c>
      <c r="L77" s="14">
        <f t="shared" si="47"/>
        <v>0</v>
      </c>
      <c r="M77" s="224">
        <f t="shared" si="47"/>
        <v>0</v>
      </c>
      <c r="N77" s="216"/>
      <c r="O77" s="216"/>
      <c r="P77" s="161">
        <v>62</v>
      </c>
      <c r="Q77" s="161">
        <f t="shared" si="2"/>
        <v>0</v>
      </c>
      <c r="R77" s="161">
        <f t="shared" si="25"/>
        <v>0</v>
      </c>
      <c r="S77" s="161">
        <f t="shared" si="26"/>
        <v>0</v>
      </c>
      <c r="T77" s="161">
        <f t="shared" si="27"/>
        <v>0</v>
      </c>
      <c r="U77" s="161">
        <f t="shared" si="28"/>
        <v>0</v>
      </c>
      <c r="V77" s="161">
        <f t="shared" si="29"/>
        <v>0</v>
      </c>
      <c r="W77" s="161">
        <f t="shared" si="30"/>
        <v>0</v>
      </c>
      <c r="X77" s="161">
        <f t="shared" si="31"/>
        <v>0</v>
      </c>
      <c r="Y77" s="161">
        <f t="shared" si="32"/>
        <v>0</v>
      </c>
      <c r="Z77" s="161">
        <f t="shared" si="33"/>
        <v>0</v>
      </c>
      <c r="AB77" s="168">
        <v>54</v>
      </c>
      <c r="AC77" s="213">
        <f t="shared" ca="1" si="43"/>
        <v>46793</v>
      </c>
      <c r="AD77" s="214">
        <f t="shared" si="39"/>
        <v>526.75</v>
      </c>
      <c r="AE77" s="168"/>
      <c r="AF77" s="168">
        <v>54</v>
      </c>
      <c r="AG77" s="213">
        <f t="shared" ca="1" si="44"/>
        <v>46793</v>
      </c>
      <c r="AH77" s="208">
        <f t="shared" si="13"/>
        <v>6</v>
      </c>
      <c r="AI77" s="215">
        <f t="shared" ca="1" si="40"/>
        <v>2.1545093889114377</v>
      </c>
      <c r="AJ77" s="168">
        <v>54</v>
      </c>
      <c r="AK77" s="213">
        <f t="shared" ca="1" si="45"/>
        <v>46793</v>
      </c>
      <c r="AL77" s="208">
        <f t="shared" si="15"/>
        <v>532.75</v>
      </c>
      <c r="AN77" s="168">
        <v>54</v>
      </c>
      <c r="AO77" s="189">
        <f t="shared" ca="1" si="8"/>
        <v>46793</v>
      </c>
      <c r="BC77" s="186" t="str">
        <f t="shared" si="41"/>
        <v>2GOV SP - SPPREV</v>
      </c>
      <c r="BD77" s="186">
        <f t="shared" si="42"/>
        <v>2</v>
      </c>
      <c r="BE77" s="209" t="str">
        <f>'SIMULADOR COM SALDO'!BF76</f>
        <v>GOV SP - SPPREV</v>
      </c>
      <c r="BF77" s="209" t="str">
        <f>'SIMULADOR COM SALDO'!BG76</f>
        <v>774029 - Tabela 2</v>
      </c>
      <c r="BG77" s="209">
        <f>'SIMULADOR COM SALDO'!BH76</f>
        <v>2.1899999999999999E-2</v>
      </c>
      <c r="BH77" s="209">
        <f>'SIMULADOR COM SALDO'!BI76</f>
        <v>96</v>
      </c>
      <c r="BI77" s="209" t="str">
        <f>'SIMULADOR COM SALDO'!BJ76</f>
        <v/>
      </c>
      <c r="BJ77" s="209">
        <f>'SIMULADOR COM SALDO'!BK76</f>
        <v>2.29</v>
      </c>
      <c r="BK77" s="209">
        <f>'SIMULADOR COM SALDO'!BL76</f>
        <v>10</v>
      </c>
      <c r="BL77" s="209">
        <f>'SIMULADOR COM SALDO'!BM76</f>
        <v>42</v>
      </c>
      <c r="BM77" s="209" t="str">
        <f>'SIMULADOR COM SALDO'!BN76</f>
        <v>RFN - GOV SP - SPPREV 2 DIG PORTAB PLUS</v>
      </c>
      <c r="BN77" s="209" t="str">
        <f>'SIMULADOR COM SALDO'!BO76</f>
        <v>1,44</v>
      </c>
      <c r="BO77" s="209">
        <f>'SIMULADOR COM SALDO'!BP76</f>
        <v>1.44E-2</v>
      </c>
      <c r="BP77" s="209">
        <f>'SIMULADOR COM SALDO'!BQ76</f>
        <v>2.6007086592338136E-2</v>
      </c>
      <c r="BQ77" s="209">
        <f>'SIMULADOR COM SALDO'!BR76</f>
        <v>2.29E-2</v>
      </c>
      <c r="BR77" s="209">
        <f>'SIMULADOR COM SALDO'!BS76</f>
        <v>2.9999999999999997E-4</v>
      </c>
    </row>
    <row r="78" spans="2:70" hidden="1" x14ac:dyDescent="0.25">
      <c r="B78">
        <v>41</v>
      </c>
      <c r="C78" s="13">
        <f t="shared" ca="1" si="46"/>
        <v>46397</v>
      </c>
      <c r="D78" s="14">
        <f t="shared" ca="1" si="37"/>
        <v>129.24065203235943</v>
      </c>
      <c r="E78" s="14">
        <f t="shared" ca="1" si="47"/>
        <v>116.65970360443063</v>
      </c>
      <c r="F78" s="14">
        <f t="shared" si="47"/>
        <v>0</v>
      </c>
      <c r="G78" s="14">
        <f t="shared" si="47"/>
        <v>0</v>
      </c>
      <c r="H78" s="14">
        <f t="shared" si="47"/>
        <v>0</v>
      </c>
      <c r="I78" s="14">
        <f t="shared" si="47"/>
        <v>0</v>
      </c>
      <c r="J78" s="14">
        <f t="shared" si="47"/>
        <v>0</v>
      </c>
      <c r="K78" s="14">
        <f t="shared" si="47"/>
        <v>0</v>
      </c>
      <c r="L78" s="14">
        <f t="shared" si="47"/>
        <v>0</v>
      </c>
      <c r="M78" s="224">
        <f t="shared" si="47"/>
        <v>0</v>
      </c>
      <c r="N78" s="216"/>
      <c r="O78" s="216"/>
      <c r="P78" s="161">
        <v>63</v>
      </c>
      <c r="Q78" s="161">
        <f t="shared" si="2"/>
        <v>0</v>
      </c>
      <c r="R78" s="161">
        <f t="shared" si="25"/>
        <v>0</v>
      </c>
      <c r="S78" s="161">
        <f t="shared" si="26"/>
        <v>0</v>
      </c>
      <c r="T78" s="161">
        <f t="shared" si="27"/>
        <v>0</v>
      </c>
      <c r="U78" s="161">
        <f t="shared" si="28"/>
        <v>0</v>
      </c>
      <c r="V78" s="161">
        <f t="shared" si="29"/>
        <v>0</v>
      </c>
      <c r="W78" s="161">
        <f t="shared" si="30"/>
        <v>0</v>
      </c>
      <c r="X78" s="161">
        <f t="shared" si="31"/>
        <v>0</v>
      </c>
      <c r="Y78" s="161">
        <f t="shared" si="32"/>
        <v>0</v>
      </c>
      <c r="Z78" s="161">
        <f t="shared" si="33"/>
        <v>0</v>
      </c>
      <c r="AB78" s="168">
        <v>55</v>
      </c>
      <c r="AC78" s="213">
        <f t="shared" ca="1" si="43"/>
        <v>46822</v>
      </c>
      <c r="AD78" s="214">
        <f t="shared" si="39"/>
        <v>526.75</v>
      </c>
      <c r="AE78" s="168"/>
      <c r="AF78" s="168">
        <v>55</v>
      </c>
      <c r="AG78" s="213">
        <f t="shared" ca="1" si="44"/>
        <v>46822</v>
      </c>
      <c r="AH78" s="208">
        <f t="shared" si="13"/>
        <v>6</v>
      </c>
      <c r="AI78" s="215">
        <f t="shared" ca="1" si="40"/>
        <v>2.1154632385920236</v>
      </c>
      <c r="AJ78" s="168">
        <v>55</v>
      </c>
      <c r="AK78" s="213">
        <f t="shared" ca="1" si="45"/>
        <v>46822</v>
      </c>
      <c r="AL78" s="208">
        <f t="shared" si="15"/>
        <v>532.75</v>
      </c>
      <c r="AN78" s="168">
        <v>55</v>
      </c>
      <c r="AO78" s="189">
        <f t="shared" ca="1" si="8"/>
        <v>46822</v>
      </c>
      <c r="BC78" s="186" t="str">
        <f t="shared" si="41"/>
        <v>3GOV SP - SPPREV</v>
      </c>
      <c r="BD78" s="186">
        <f t="shared" si="42"/>
        <v>3</v>
      </c>
      <c r="BE78" s="209" t="str">
        <f>'SIMULADOR COM SALDO'!BF77</f>
        <v>GOV SP - SPPREV</v>
      </c>
      <c r="BF78" s="209" t="str">
        <f>'SIMULADOR COM SALDO'!BG77</f>
        <v>774030 - Tabela 3</v>
      </c>
      <c r="BG78" s="209">
        <f>'SIMULADOR COM SALDO'!BH77</f>
        <v>2.0899999999999998E-2</v>
      </c>
      <c r="BH78" s="209">
        <f>'SIMULADOR COM SALDO'!BI77</f>
        <v>96</v>
      </c>
      <c r="BI78" s="209" t="str">
        <f>'SIMULADOR COM SALDO'!BJ77</f>
        <v/>
      </c>
      <c r="BJ78" s="209">
        <f>'SIMULADOR COM SALDO'!BK77</f>
        <v>2.29</v>
      </c>
      <c r="BK78" s="209">
        <f>'SIMULADOR COM SALDO'!BL77</f>
        <v>10</v>
      </c>
      <c r="BL78" s="209">
        <f>'SIMULADOR COM SALDO'!BM77</f>
        <v>45</v>
      </c>
      <c r="BM78" s="209" t="str">
        <f>'SIMULADOR COM SALDO'!BN77</f>
        <v>RFN - GOV SP - SPPREV 3 DIG PORTAB PLUS</v>
      </c>
      <c r="BN78" s="209" t="str">
        <f>'SIMULADOR COM SALDO'!BO77</f>
        <v>1,44</v>
      </c>
      <c r="BO78" s="209">
        <f>'SIMULADOR COM SALDO'!BP77</f>
        <v>1.44E-2</v>
      </c>
      <c r="BP78" s="209">
        <f>'SIMULADOR COM SALDO'!BQ77</f>
        <v>2.5216089769097401E-2</v>
      </c>
      <c r="BQ78" s="209">
        <f>'SIMULADOR COM SALDO'!BR77</f>
        <v>2.29E-2</v>
      </c>
      <c r="BR78" s="209">
        <f>'SIMULADOR COM SALDO'!BS77</f>
        <v>2.9999999999999997E-4</v>
      </c>
    </row>
    <row r="79" spans="2:70" hidden="1" x14ac:dyDescent="0.25">
      <c r="B79">
        <v>42</v>
      </c>
      <c r="C79" s="13">
        <f t="shared" ca="1" si="46"/>
        <v>46428</v>
      </c>
      <c r="D79" s="14">
        <f t="shared" ca="1" si="37"/>
        <v>126.77895868123345</v>
      </c>
      <c r="E79" s="14">
        <f t="shared" ca="1" si="47"/>
        <v>114.43764411934346</v>
      </c>
      <c r="F79" s="14">
        <f t="shared" si="47"/>
        <v>0</v>
      </c>
      <c r="G79" s="14">
        <f t="shared" si="47"/>
        <v>0</v>
      </c>
      <c r="H79" s="14">
        <f t="shared" si="47"/>
        <v>0</v>
      </c>
      <c r="I79" s="14">
        <f t="shared" si="47"/>
        <v>0</v>
      </c>
      <c r="J79" s="14">
        <f t="shared" si="47"/>
        <v>0</v>
      </c>
      <c r="K79" s="14">
        <f t="shared" si="47"/>
        <v>0</v>
      </c>
      <c r="L79" s="14">
        <f t="shared" si="47"/>
        <v>0</v>
      </c>
      <c r="M79" s="224">
        <f t="shared" si="47"/>
        <v>0</v>
      </c>
      <c r="N79" s="216"/>
      <c r="O79" s="216"/>
      <c r="P79" s="161">
        <v>64</v>
      </c>
      <c r="Q79" s="161">
        <f t="shared" si="2"/>
        <v>0</v>
      </c>
      <c r="R79" s="161">
        <f t="shared" si="25"/>
        <v>0</v>
      </c>
      <c r="S79" s="161">
        <f t="shared" si="26"/>
        <v>0</v>
      </c>
      <c r="T79" s="161">
        <f t="shared" si="27"/>
        <v>0</v>
      </c>
      <c r="U79" s="161">
        <f t="shared" si="28"/>
        <v>0</v>
      </c>
      <c r="V79" s="161">
        <f t="shared" si="29"/>
        <v>0</v>
      </c>
      <c r="W79" s="161">
        <f t="shared" si="30"/>
        <v>0</v>
      </c>
      <c r="X79" s="161">
        <f t="shared" si="31"/>
        <v>0</v>
      </c>
      <c r="Y79" s="161">
        <f t="shared" si="32"/>
        <v>0</v>
      </c>
      <c r="Z79" s="161">
        <f t="shared" si="33"/>
        <v>0</v>
      </c>
      <c r="AB79" s="168">
        <v>56</v>
      </c>
      <c r="AC79" s="213">
        <f t="shared" ca="1" si="43"/>
        <v>46853</v>
      </c>
      <c r="AD79" s="214">
        <f t="shared" si="39"/>
        <v>526.75</v>
      </c>
      <c r="AE79" s="168"/>
      <c r="AF79" s="168">
        <v>56</v>
      </c>
      <c r="AG79" s="213">
        <f t="shared" ca="1" si="44"/>
        <v>46853</v>
      </c>
      <c r="AH79" s="208">
        <f t="shared" si="13"/>
        <v>6</v>
      </c>
      <c r="AI79" s="215">
        <f t="shared" ca="1" si="40"/>
        <v>2.0745064421270327</v>
      </c>
      <c r="AJ79" s="168">
        <v>56</v>
      </c>
      <c r="AK79" s="213">
        <f t="shared" ca="1" si="45"/>
        <v>46853</v>
      </c>
      <c r="AL79" s="208">
        <f t="shared" si="15"/>
        <v>532.75</v>
      </c>
      <c r="AN79" s="168">
        <v>56</v>
      </c>
      <c r="AO79" s="189">
        <f t="shared" ca="1" si="8"/>
        <v>46853</v>
      </c>
      <c r="BC79" s="186" t="str">
        <f t="shared" si="41"/>
        <v>4GOV SP - SPPREV</v>
      </c>
      <c r="BD79" s="186">
        <f t="shared" si="42"/>
        <v>4</v>
      </c>
      <c r="BE79" s="209" t="str">
        <f>'SIMULADOR COM SALDO'!BF78</f>
        <v>GOV SP - SPPREV</v>
      </c>
      <c r="BF79" s="209" t="str">
        <f>'SIMULADOR COM SALDO'!BG78</f>
        <v>774037 - Tabela 4</v>
      </c>
      <c r="BG79" s="209">
        <f>'SIMULADOR COM SALDO'!BH78</f>
        <v>1.9900000000000001E-2</v>
      </c>
      <c r="BH79" s="209">
        <f>'SIMULADOR COM SALDO'!BI78</f>
        <v>96</v>
      </c>
      <c r="BI79" s="209" t="str">
        <f>'SIMULADOR COM SALDO'!BJ78</f>
        <v/>
      </c>
      <c r="BJ79" s="209">
        <f>'SIMULADOR COM SALDO'!BK78</f>
        <v>2.29</v>
      </c>
      <c r="BK79" s="209">
        <f>'SIMULADOR COM SALDO'!BL78</f>
        <v>10</v>
      </c>
      <c r="BL79" s="209">
        <f>'SIMULADOR COM SALDO'!BM78</f>
        <v>45</v>
      </c>
      <c r="BM79" s="209" t="str">
        <f>'SIMULADOR COM SALDO'!BN78</f>
        <v>RFN - GOV SP - SPPREV 4 DIG PORTAB PLUS</v>
      </c>
      <c r="BN79" s="209" t="str">
        <f>'SIMULADOR COM SALDO'!BO78</f>
        <v>1,44</v>
      </c>
      <c r="BO79" s="209">
        <f>'SIMULADOR COM SALDO'!BP78</f>
        <v>1.44E-2</v>
      </c>
      <c r="BP79" s="209">
        <f>'SIMULADOR COM SALDO'!BQ78</f>
        <v>2.4380532664636318E-2</v>
      </c>
      <c r="BQ79" s="209">
        <f>'SIMULADOR COM SALDO'!BR78</f>
        <v>2.29E-2</v>
      </c>
      <c r="BR79" s="209">
        <f>'SIMULADOR COM SALDO'!BS78</f>
        <v>2.9999999999999997E-4</v>
      </c>
    </row>
    <row r="80" spans="2:70" hidden="1" x14ac:dyDescent="0.25">
      <c r="B80">
        <v>43</v>
      </c>
      <c r="C80" s="13">
        <f t="shared" ca="1" si="46"/>
        <v>46456</v>
      </c>
      <c r="D80" s="14">
        <f t="shared" ca="1" si="37"/>
        <v>124.59582050306985</v>
      </c>
      <c r="E80" s="14">
        <f t="shared" ca="1" si="47"/>
        <v>112.46702381693029</v>
      </c>
      <c r="F80" s="14">
        <f t="shared" si="47"/>
        <v>0</v>
      </c>
      <c r="G80" s="14">
        <f t="shared" si="47"/>
        <v>0</v>
      </c>
      <c r="H80" s="14">
        <f t="shared" si="47"/>
        <v>0</v>
      </c>
      <c r="I80" s="14">
        <f t="shared" si="47"/>
        <v>0</v>
      </c>
      <c r="J80" s="14">
        <f t="shared" si="47"/>
        <v>0</v>
      </c>
      <c r="K80" s="14">
        <f t="shared" si="47"/>
        <v>0</v>
      </c>
      <c r="L80" s="14">
        <f t="shared" si="47"/>
        <v>0</v>
      </c>
      <c r="M80" s="224">
        <f t="shared" si="47"/>
        <v>0</v>
      </c>
      <c r="N80" s="216"/>
      <c r="O80" s="216"/>
      <c r="P80" s="161">
        <v>65</v>
      </c>
      <c r="Q80" s="161">
        <f t="shared" si="2"/>
        <v>0</v>
      </c>
      <c r="R80" s="161">
        <f t="shared" si="25"/>
        <v>0</v>
      </c>
      <c r="S80" s="161">
        <f t="shared" si="26"/>
        <v>0</v>
      </c>
      <c r="T80" s="161">
        <f t="shared" si="27"/>
        <v>0</v>
      </c>
      <c r="U80" s="161">
        <f t="shared" si="28"/>
        <v>0</v>
      </c>
      <c r="V80" s="161">
        <f t="shared" si="29"/>
        <v>0</v>
      </c>
      <c r="W80" s="161">
        <f t="shared" si="30"/>
        <v>0</v>
      </c>
      <c r="X80" s="161">
        <f t="shared" si="31"/>
        <v>0</v>
      </c>
      <c r="Y80" s="161">
        <f t="shared" si="32"/>
        <v>0</v>
      </c>
      <c r="Z80" s="161">
        <f t="shared" si="33"/>
        <v>0</v>
      </c>
      <c r="AB80" s="168">
        <v>57</v>
      </c>
      <c r="AC80" s="213">
        <f t="shared" ca="1" si="43"/>
        <v>46883</v>
      </c>
      <c r="AD80" s="214">
        <f t="shared" si="39"/>
        <v>526.75</v>
      </c>
      <c r="AE80" s="168"/>
      <c r="AF80" s="168">
        <v>57</v>
      </c>
      <c r="AG80" s="213">
        <f t="shared" ca="1" si="44"/>
        <v>46883</v>
      </c>
      <c r="AH80" s="208">
        <f t="shared" si="13"/>
        <v>6</v>
      </c>
      <c r="AI80" s="215">
        <f t="shared" ca="1" si="40"/>
        <v>2.0356259857982857</v>
      </c>
      <c r="AJ80" s="168">
        <v>57</v>
      </c>
      <c r="AK80" s="213">
        <f t="shared" ca="1" si="45"/>
        <v>46883</v>
      </c>
      <c r="AL80" s="208">
        <f t="shared" si="15"/>
        <v>532.75</v>
      </c>
      <c r="AN80" s="168">
        <v>57</v>
      </c>
      <c r="AO80" s="189">
        <f t="shared" ca="1" si="8"/>
        <v>46883</v>
      </c>
      <c r="BC80" s="186" t="str">
        <f t="shared" si="41"/>
        <v>5GOV SP - SPPREV</v>
      </c>
      <c r="BD80" s="186">
        <f t="shared" si="42"/>
        <v>5</v>
      </c>
      <c r="BE80" s="209" t="str">
        <f>'SIMULADOR COM SALDO'!BF79</f>
        <v>GOV SP - SPPREV</v>
      </c>
      <c r="BF80" s="209" t="str">
        <f>'SIMULADOR COM SALDO'!BG79</f>
        <v>774038 - Tabela 5</v>
      </c>
      <c r="BG80" s="209">
        <f>'SIMULADOR COM SALDO'!BH79</f>
        <v>1.8500000000000003E-2</v>
      </c>
      <c r="BH80" s="209">
        <f>'SIMULADOR COM SALDO'!BI79</f>
        <v>96</v>
      </c>
      <c r="BI80" s="209" t="str">
        <f>'SIMULADOR COM SALDO'!BJ79</f>
        <v/>
      </c>
      <c r="BJ80" s="209">
        <f>'SIMULADOR COM SALDO'!BK79</f>
        <v>2.29</v>
      </c>
      <c r="BK80" s="209">
        <f>'SIMULADOR COM SALDO'!BL79</f>
        <v>10</v>
      </c>
      <c r="BL80" s="209">
        <f>'SIMULADOR COM SALDO'!BM79</f>
        <v>45</v>
      </c>
      <c r="BM80" s="209" t="str">
        <f>'SIMULADOR COM SALDO'!BN79</f>
        <v>RFN - GOV SP - SPPREV 5 DIG PORTAB PLUS</v>
      </c>
      <c r="BN80" s="209" t="str">
        <f>'SIMULADOR COM SALDO'!BO79</f>
        <v>1,44</v>
      </c>
      <c r="BO80" s="209">
        <f>'SIMULADOR COM SALDO'!BP79</f>
        <v>1.44E-2</v>
      </c>
      <c r="BP80" s="209">
        <f>'SIMULADOR COM SALDO'!BQ79</f>
        <v>2.3231375881545779E-2</v>
      </c>
      <c r="BQ80" s="209">
        <f>'SIMULADOR COM SALDO'!BR79</f>
        <v>2.29E-2</v>
      </c>
      <c r="BR80" s="209">
        <f>'SIMULADOR COM SALDO'!BS79</f>
        <v>2.9999999999999997E-4</v>
      </c>
    </row>
    <row r="81" spans="2:70" hidden="1" x14ac:dyDescent="0.25">
      <c r="B81">
        <v>44</v>
      </c>
      <c r="C81" s="13">
        <f t="shared" ca="1" si="46"/>
        <v>46487</v>
      </c>
      <c r="D81" s="14">
        <f t="shared" ca="1" si="37"/>
        <v>122.22259893472233</v>
      </c>
      <c r="E81" s="14">
        <f t="shared" ca="1" si="47"/>
        <v>110.32482381718299</v>
      </c>
      <c r="F81" s="14">
        <f t="shared" si="47"/>
        <v>0</v>
      </c>
      <c r="G81" s="14">
        <f t="shared" si="47"/>
        <v>0</v>
      </c>
      <c r="H81" s="14">
        <f t="shared" si="47"/>
        <v>0</v>
      </c>
      <c r="I81" s="14">
        <f t="shared" si="47"/>
        <v>0</v>
      </c>
      <c r="J81" s="14">
        <f t="shared" si="47"/>
        <v>0</v>
      </c>
      <c r="K81" s="14">
        <f t="shared" si="47"/>
        <v>0</v>
      </c>
      <c r="L81" s="14">
        <f t="shared" si="47"/>
        <v>0</v>
      </c>
      <c r="M81" s="224">
        <f t="shared" si="47"/>
        <v>0</v>
      </c>
      <c r="N81" s="216"/>
      <c r="O81" s="216"/>
      <c r="P81" s="161">
        <v>66</v>
      </c>
      <c r="Q81" s="161">
        <f t="shared" ref="Q81:Q144" si="48">IF($P81&lt;=D$20,D$17,0)</f>
        <v>0</v>
      </c>
      <c r="R81" s="161">
        <f t="shared" si="25"/>
        <v>0</v>
      </c>
      <c r="S81" s="161">
        <f t="shared" si="26"/>
        <v>0</v>
      </c>
      <c r="T81" s="161">
        <f t="shared" si="27"/>
        <v>0</v>
      </c>
      <c r="U81" s="161">
        <f t="shared" si="28"/>
        <v>0</v>
      </c>
      <c r="V81" s="161">
        <f t="shared" si="29"/>
        <v>0</v>
      </c>
      <c r="W81" s="161">
        <f t="shared" si="30"/>
        <v>0</v>
      </c>
      <c r="X81" s="161">
        <f t="shared" si="31"/>
        <v>0</v>
      </c>
      <c r="Y81" s="161">
        <f t="shared" si="32"/>
        <v>0</v>
      </c>
      <c r="Z81" s="161">
        <f t="shared" si="33"/>
        <v>0</v>
      </c>
      <c r="AB81" s="168">
        <v>58</v>
      </c>
      <c r="AC81" s="213">
        <f t="shared" ca="1" si="43"/>
        <v>46914</v>
      </c>
      <c r="AD81" s="214">
        <f t="shared" si="39"/>
        <v>526.75</v>
      </c>
      <c r="AE81" s="168"/>
      <c r="AF81" s="168">
        <v>58</v>
      </c>
      <c r="AG81" s="213">
        <f t="shared" ca="1" si="44"/>
        <v>46914</v>
      </c>
      <c r="AH81" s="208">
        <f t="shared" si="13"/>
        <v>6</v>
      </c>
      <c r="AI81" s="215">
        <f t="shared" ca="1" si="40"/>
        <v>1.9962148924461385</v>
      </c>
      <c r="AJ81" s="168">
        <v>58</v>
      </c>
      <c r="AK81" s="213">
        <f t="shared" ca="1" si="45"/>
        <v>46914</v>
      </c>
      <c r="AL81" s="208">
        <f t="shared" si="15"/>
        <v>532.75</v>
      </c>
      <c r="AN81" s="168">
        <v>58</v>
      </c>
      <c r="AO81" s="189">
        <f t="shared" ca="1" si="8"/>
        <v>46914</v>
      </c>
      <c r="BC81" s="186" t="str">
        <f t="shared" si="41"/>
        <v>1GOV SP PM PORT</v>
      </c>
      <c r="BD81" s="186">
        <f t="shared" si="42"/>
        <v>1</v>
      </c>
      <c r="BE81" s="209" t="str">
        <f>'SIMULADOR COM SALDO'!BF80</f>
        <v>GOV SP PM PORT</v>
      </c>
      <c r="BF81" s="209" t="str">
        <f>'SIMULADOR COM SALDO'!BG80</f>
        <v>705171 - Tabela 1</v>
      </c>
      <c r="BG81" s="209">
        <f>'SIMULADOR COM SALDO'!BH80</f>
        <v>2.29E-2</v>
      </c>
      <c r="BH81" s="209">
        <f>'SIMULADOR COM SALDO'!BI80</f>
        <v>96</v>
      </c>
      <c r="BI81" s="209" t="str">
        <f>'SIMULADOR COM SALDO'!BJ80</f>
        <v/>
      </c>
      <c r="BJ81" s="209">
        <f>'SIMULADOR COM SALDO'!BK80</f>
        <v>2.29</v>
      </c>
      <c r="BK81" s="209">
        <f>'SIMULADOR COM SALDO'!BL80</f>
        <v>10</v>
      </c>
      <c r="BL81" s="209">
        <f>'SIMULADOR COM SALDO'!BM80</f>
        <v>56</v>
      </c>
      <c r="BM81" s="209" t="str">
        <f>'SIMULADOR COM SALDO'!BN80</f>
        <v>RFN - GOV SP - PM 1 PORTAB DIG</v>
      </c>
      <c r="BN81" s="209" t="str">
        <f>'SIMULADOR COM SALDO'!BO80</f>
        <v>1,44</v>
      </c>
      <c r="BO81" s="209">
        <f>'SIMULADOR COM SALDO'!BP80</f>
        <v>1.44E-2</v>
      </c>
      <c r="BP81" s="209">
        <f>'SIMULADOR COM SALDO'!BQ80</f>
        <v>2.7146782599969166E-2</v>
      </c>
      <c r="BQ81" s="209">
        <f>'SIMULADOR COM SALDO'!BR80</f>
        <v>2.29E-2</v>
      </c>
      <c r="BR81" s="209">
        <f>'SIMULADOR COM SALDO'!BS80</f>
        <v>2.9999999999999997E-4</v>
      </c>
    </row>
    <row r="82" spans="2:70" hidden="1" x14ac:dyDescent="0.25">
      <c r="B82">
        <v>45</v>
      </c>
      <c r="C82" s="13">
        <f t="shared" ca="1" si="46"/>
        <v>46517</v>
      </c>
      <c r="D82" s="14">
        <f t="shared" ca="1" si="37"/>
        <v>119.96898161508298</v>
      </c>
      <c r="E82" s="14">
        <f t="shared" ca="1" si="47"/>
        <v>108.29058517467668</v>
      </c>
      <c r="F82" s="14">
        <f t="shared" si="47"/>
        <v>0</v>
      </c>
      <c r="G82" s="14">
        <f t="shared" si="47"/>
        <v>0</v>
      </c>
      <c r="H82" s="14">
        <f t="shared" si="47"/>
        <v>0</v>
      </c>
      <c r="I82" s="14">
        <f t="shared" si="47"/>
        <v>0</v>
      </c>
      <c r="J82" s="14">
        <f t="shared" si="47"/>
        <v>0</v>
      </c>
      <c r="K82" s="14">
        <f t="shared" si="47"/>
        <v>0</v>
      </c>
      <c r="L82" s="14">
        <f t="shared" si="47"/>
        <v>0</v>
      </c>
      <c r="M82" s="224">
        <f t="shared" si="47"/>
        <v>0</v>
      </c>
      <c r="N82" s="216"/>
      <c r="O82" s="216"/>
      <c r="P82" s="161">
        <v>67</v>
      </c>
      <c r="Q82" s="161">
        <f t="shared" si="48"/>
        <v>0</v>
      </c>
      <c r="R82" s="161">
        <f t="shared" si="25"/>
        <v>0</v>
      </c>
      <c r="S82" s="161">
        <f t="shared" si="26"/>
        <v>0</v>
      </c>
      <c r="T82" s="161">
        <f t="shared" si="27"/>
        <v>0</v>
      </c>
      <c r="U82" s="161">
        <f t="shared" si="28"/>
        <v>0</v>
      </c>
      <c r="V82" s="161">
        <f t="shared" si="29"/>
        <v>0</v>
      </c>
      <c r="W82" s="161">
        <f t="shared" si="30"/>
        <v>0</v>
      </c>
      <c r="X82" s="161">
        <f t="shared" si="31"/>
        <v>0</v>
      </c>
      <c r="Y82" s="161">
        <f t="shared" si="32"/>
        <v>0</v>
      </c>
      <c r="Z82" s="161">
        <f t="shared" si="33"/>
        <v>0</v>
      </c>
      <c r="AB82" s="168">
        <v>59</v>
      </c>
      <c r="AC82" s="213">
        <f t="shared" ca="1" si="43"/>
        <v>46944</v>
      </c>
      <c r="AD82" s="214">
        <f t="shared" si="39"/>
        <v>526.75</v>
      </c>
      <c r="AE82" s="168"/>
      <c r="AF82" s="168">
        <v>59</v>
      </c>
      <c r="AG82" s="213">
        <f t="shared" ca="1" si="44"/>
        <v>46944</v>
      </c>
      <c r="AH82" s="208">
        <f t="shared" si="13"/>
        <v>6</v>
      </c>
      <c r="AI82" s="215">
        <f t="shared" ca="1" si="40"/>
        <v>1.9588017784772234</v>
      </c>
      <c r="AJ82" s="168">
        <v>59</v>
      </c>
      <c r="AK82" s="213">
        <f t="shared" ca="1" si="45"/>
        <v>46944</v>
      </c>
      <c r="AL82" s="208">
        <f t="shared" si="15"/>
        <v>532.75</v>
      </c>
      <c r="AN82" s="168">
        <v>59</v>
      </c>
      <c r="AO82" s="189">
        <f t="shared" ca="1" si="8"/>
        <v>46944</v>
      </c>
      <c r="BC82" s="186" t="str">
        <f t="shared" si="41"/>
        <v>2GOV SP PM PORT</v>
      </c>
      <c r="BD82" s="186">
        <f t="shared" si="42"/>
        <v>2</v>
      </c>
      <c r="BE82" s="209" t="str">
        <f>'SIMULADOR COM SALDO'!BF81</f>
        <v>GOV SP PM PORT</v>
      </c>
      <c r="BF82" s="209" t="str">
        <f>'SIMULADOR COM SALDO'!BG81</f>
        <v>705172 - Tabela 2</v>
      </c>
      <c r="BG82" s="209">
        <f>'SIMULADOR COM SALDO'!BH81</f>
        <v>2.1899999999999999E-2</v>
      </c>
      <c r="BH82" s="209">
        <f>'SIMULADOR COM SALDO'!BI81</f>
        <v>96</v>
      </c>
      <c r="BI82" s="209" t="str">
        <f>'SIMULADOR COM SALDO'!BJ81</f>
        <v/>
      </c>
      <c r="BJ82" s="209">
        <f>'SIMULADOR COM SALDO'!BK81</f>
        <v>2.29</v>
      </c>
      <c r="BK82" s="209">
        <f>'SIMULADOR COM SALDO'!BL81</f>
        <v>10</v>
      </c>
      <c r="BL82" s="209">
        <f>'SIMULADOR COM SALDO'!BM81</f>
        <v>60</v>
      </c>
      <c r="BM82" s="209" t="str">
        <f>'SIMULADOR COM SALDO'!BN81</f>
        <v>RFN - GOV SP - PM 2 PORTAB DIG</v>
      </c>
      <c r="BN82" s="209" t="str">
        <f>'SIMULADOR COM SALDO'!BO81</f>
        <v>1,44</v>
      </c>
      <c r="BO82" s="209">
        <f>'SIMULADOR COM SALDO'!BP81</f>
        <v>1.44E-2</v>
      </c>
      <c r="BP82" s="209">
        <f>'SIMULADOR COM SALDO'!BQ81</f>
        <v>2.6347338018250815E-2</v>
      </c>
      <c r="BQ82" s="209">
        <f>'SIMULADOR COM SALDO'!BR81</f>
        <v>2.29E-2</v>
      </c>
      <c r="BR82" s="209">
        <f>'SIMULADOR COM SALDO'!BS81</f>
        <v>2.9999999999999997E-4</v>
      </c>
    </row>
    <row r="83" spans="2:70" hidden="1" x14ac:dyDescent="0.25">
      <c r="B83">
        <v>46</v>
      </c>
      <c r="C83" s="13">
        <f t="shared" ca="1" si="46"/>
        <v>46548</v>
      </c>
      <c r="D83" s="14">
        <f t="shared" ca="1" si="37"/>
        <v>117.6838891171802</v>
      </c>
      <c r="E83" s="14">
        <f t="shared" ca="1" si="47"/>
        <v>106.2279353093131</v>
      </c>
      <c r="F83" s="14">
        <f t="shared" si="47"/>
        <v>0</v>
      </c>
      <c r="G83" s="14">
        <f t="shared" si="47"/>
        <v>0</v>
      </c>
      <c r="H83" s="14">
        <f t="shared" si="47"/>
        <v>0</v>
      </c>
      <c r="I83" s="14">
        <f t="shared" si="47"/>
        <v>0</v>
      </c>
      <c r="J83" s="14">
        <f t="shared" si="47"/>
        <v>0</v>
      </c>
      <c r="K83" s="14">
        <f t="shared" si="47"/>
        <v>0</v>
      </c>
      <c r="L83" s="14">
        <f t="shared" si="47"/>
        <v>0</v>
      </c>
      <c r="M83" s="224">
        <f t="shared" si="47"/>
        <v>0</v>
      </c>
      <c r="N83" s="216"/>
      <c r="O83" s="216"/>
      <c r="P83" s="161">
        <v>68</v>
      </c>
      <c r="Q83" s="161">
        <f t="shared" si="48"/>
        <v>0</v>
      </c>
      <c r="R83" s="161">
        <f t="shared" si="25"/>
        <v>0</v>
      </c>
      <c r="S83" s="161">
        <f t="shared" si="26"/>
        <v>0</v>
      </c>
      <c r="T83" s="161">
        <f t="shared" si="27"/>
        <v>0</v>
      </c>
      <c r="U83" s="161">
        <f t="shared" si="28"/>
        <v>0</v>
      </c>
      <c r="V83" s="161">
        <f t="shared" si="29"/>
        <v>0</v>
      </c>
      <c r="W83" s="161">
        <f t="shared" si="30"/>
        <v>0</v>
      </c>
      <c r="X83" s="161">
        <f t="shared" si="31"/>
        <v>0</v>
      </c>
      <c r="Y83" s="161">
        <f t="shared" si="32"/>
        <v>0</v>
      </c>
      <c r="Z83" s="161">
        <f t="shared" si="33"/>
        <v>0</v>
      </c>
      <c r="AB83" s="168">
        <v>60</v>
      </c>
      <c r="AC83" s="213">
        <f t="shared" ca="1" si="43"/>
        <v>46975</v>
      </c>
      <c r="AD83" s="214">
        <f t="shared" si="39"/>
        <v>526.75</v>
      </c>
      <c r="AE83" s="168"/>
      <c r="AF83" s="168">
        <v>60</v>
      </c>
      <c r="AG83" s="213">
        <f t="shared" ca="1" si="44"/>
        <v>46975</v>
      </c>
      <c r="AH83" s="208">
        <f t="shared" si="13"/>
        <v>6</v>
      </c>
      <c r="AI83" s="215">
        <f t="shared" ca="1" si="40"/>
        <v>1.9208780536434371</v>
      </c>
      <c r="AJ83" s="168">
        <v>60</v>
      </c>
      <c r="AK83" s="213">
        <f t="shared" ca="1" si="45"/>
        <v>46975</v>
      </c>
      <c r="AL83" s="208">
        <f t="shared" si="15"/>
        <v>532.75</v>
      </c>
      <c r="AN83" s="168">
        <v>60</v>
      </c>
      <c r="AO83" s="189">
        <f t="shared" ca="1" si="8"/>
        <v>46975</v>
      </c>
      <c r="BC83" s="186" t="str">
        <f t="shared" si="41"/>
        <v>3GOV SP PM PORT</v>
      </c>
      <c r="BD83" s="186">
        <f t="shared" si="42"/>
        <v>3</v>
      </c>
      <c r="BE83" s="209" t="str">
        <f>'SIMULADOR COM SALDO'!BF82</f>
        <v>GOV SP PM PORT</v>
      </c>
      <c r="BF83" s="209" t="str">
        <f>'SIMULADOR COM SALDO'!BG82</f>
        <v>705173 - Tabela 3</v>
      </c>
      <c r="BG83" s="209">
        <f>'SIMULADOR COM SALDO'!BH82</f>
        <v>2.0899999999999998E-2</v>
      </c>
      <c r="BH83" s="209">
        <f>'SIMULADOR COM SALDO'!BI82</f>
        <v>96</v>
      </c>
      <c r="BI83" s="209" t="str">
        <f>'SIMULADOR COM SALDO'!BJ82</f>
        <v/>
      </c>
      <c r="BJ83" s="209">
        <f>'SIMULADOR COM SALDO'!BK82</f>
        <v>2.29</v>
      </c>
      <c r="BK83" s="209">
        <f>'SIMULADOR COM SALDO'!BL82</f>
        <v>10</v>
      </c>
      <c r="BL83" s="209">
        <f>'SIMULADOR COM SALDO'!BM82</f>
        <v>59</v>
      </c>
      <c r="BM83" s="209" t="str">
        <f>'SIMULADOR COM SALDO'!BN82</f>
        <v>RFN - GOV SP - PM 3 PORTAB DIG</v>
      </c>
      <c r="BN83" s="209" t="str">
        <f>'SIMULADOR COM SALDO'!BO82</f>
        <v>1,44</v>
      </c>
      <c r="BO83" s="209">
        <f>'SIMULADOR COM SALDO'!BP82</f>
        <v>1.44E-2</v>
      </c>
      <c r="BP83" s="209">
        <f>'SIMULADOR COM SALDO'!BQ82</f>
        <v>2.5460674438442448E-2</v>
      </c>
      <c r="BQ83" s="209">
        <f>'SIMULADOR COM SALDO'!BR82</f>
        <v>2.29E-2</v>
      </c>
      <c r="BR83" s="209">
        <f>'SIMULADOR COM SALDO'!BS82</f>
        <v>2.9999999999999997E-4</v>
      </c>
    </row>
    <row r="84" spans="2:70" hidden="1" x14ac:dyDescent="0.25">
      <c r="B84">
        <v>47</v>
      </c>
      <c r="C84" s="13">
        <f t="shared" ca="1" si="46"/>
        <v>46578</v>
      </c>
      <c r="D84" s="14">
        <f t="shared" ca="1" si="37"/>
        <v>115.51395939003832</v>
      </c>
      <c r="E84" s="14">
        <f t="shared" ca="1" si="47"/>
        <v>104.26923767950362</v>
      </c>
      <c r="F84" s="14">
        <f t="shared" si="47"/>
        <v>0</v>
      </c>
      <c r="G84" s="14">
        <f t="shared" si="47"/>
        <v>0</v>
      </c>
      <c r="H84" s="14">
        <f t="shared" si="47"/>
        <v>0</v>
      </c>
      <c r="I84" s="14">
        <f t="shared" si="47"/>
        <v>0</v>
      </c>
      <c r="J84" s="14">
        <f t="shared" si="47"/>
        <v>0</v>
      </c>
      <c r="K84" s="14">
        <f t="shared" si="47"/>
        <v>0</v>
      </c>
      <c r="L84" s="14">
        <f t="shared" si="47"/>
        <v>0</v>
      </c>
      <c r="M84" s="224">
        <f t="shared" si="47"/>
        <v>0</v>
      </c>
      <c r="N84" s="216"/>
      <c r="O84" s="216"/>
      <c r="P84" s="161">
        <v>69</v>
      </c>
      <c r="Q84" s="161">
        <f t="shared" si="48"/>
        <v>0</v>
      </c>
      <c r="R84" s="161">
        <f t="shared" si="25"/>
        <v>0</v>
      </c>
      <c r="S84" s="161">
        <f t="shared" si="26"/>
        <v>0</v>
      </c>
      <c r="T84" s="161">
        <f t="shared" si="27"/>
        <v>0</v>
      </c>
      <c r="U84" s="161">
        <f t="shared" si="28"/>
        <v>0</v>
      </c>
      <c r="V84" s="161">
        <f t="shared" si="29"/>
        <v>0</v>
      </c>
      <c r="W84" s="161">
        <f t="shared" si="30"/>
        <v>0</v>
      </c>
      <c r="X84" s="161">
        <f t="shared" si="31"/>
        <v>0</v>
      </c>
      <c r="Y84" s="161">
        <f t="shared" si="32"/>
        <v>0</v>
      </c>
      <c r="Z84" s="161">
        <f t="shared" si="33"/>
        <v>0</v>
      </c>
      <c r="AB84" s="168">
        <v>61</v>
      </c>
      <c r="AC84" s="213">
        <f t="shared" ca="1" si="43"/>
        <v>47006</v>
      </c>
      <c r="AD84" s="214">
        <f t="shared" si="39"/>
        <v>0</v>
      </c>
      <c r="AE84" s="168"/>
      <c r="AF84" s="168">
        <v>61</v>
      </c>
      <c r="AG84" s="213">
        <f t="shared" ca="1" si="44"/>
        <v>47006</v>
      </c>
      <c r="AH84" s="208">
        <f t="shared" si="13"/>
        <v>532.75</v>
      </c>
      <c r="AI84" s="215">
        <f t="shared" ca="1" si="40"/>
        <v>167.25584652133568</v>
      </c>
      <c r="AJ84" s="168">
        <v>61</v>
      </c>
      <c r="AK84" s="213">
        <f t="shared" ca="1" si="45"/>
        <v>47006</v>
      </c>
      <c r="AL84" s="208">
        <f t="shared" si="15"/>
        <v>532.75</v>
      </c>
      <c r="AN84" s="168">
        <v>61</v>
      </c>
      <c r="AO84" s="189">
        <f t="shared" ca="1" si="8"/>
        <v>47006</v>
      </c>
      <c r="BC84" s="186" t="str">
        <f t="shared" si="41"/>
        <v>4GOV SP PM PORT</v>
      </c>
      <c r="BD84" s="186">
        <f t="shared" si="42"/>
        <v>4</v>
      </c>
      <c r="BE84" s="209" t="str">
        <f>'SIMULADOR COM SALDO'!BF83</f>
        <v>GOV SP PM PORT</v>
      </c>
      <c r="BF84" s="209" t="str">
        <f>'SIMULADOR COM SALDO'!BG83</f>
        <v>705174 - Tabela 4</v>
      </c>
      <c r="BG84" s="209">
        <f>'SIMULADOR COM SALDO'!BH83</f>
        <v>1.9900000000000001E-2</v>
      </c>
      <c r="BH84" s="209">
        <f>'SIMULADOR COM SALDO'!BI83</f>
        <v>96</v>
      </c>
      <c r="BI84" s="209" t="str">
        <f>'SIMULADOR COM SALDO'!BJ83</f>
        <v/>
      </c>
      <c r="BJ84" s="209">
        <f>'SIMULADOR COM SALDO'!BK83</f>
        <v>2.29</v>
      </c>
      <c r="BK84" s="209">
        <f>'SIMULADOR COM SALDO'!BL83</f>
        <v>10</v>
      </c>
      <c r="BL84" s="209">
        <f>'SIMULADOR COM SALDO'!BM83</f>
        <v>52</v>
      </c>
      <c r="BM84" s="209" t="str">
        <f>'SIMULADOR COM SALDO'!BN83</f>
        <v>RFN - GOV SP - PM 4 PORTAB DIG</v>
      </c>
      <c r="BN84" s="209" t="str">
        <f>'SIMULADOR COM SALDO'!BO83</f>
        <v>1,44</v>
      </c>
      <c r="BO84" s="209">
        <f>'SIMULADOR COM SALDO'!BP83</f>
        <v>1.44E-2</v>
      </c>
      <c r="BP84" s="209">
        <f>'SIMULADOR COM SALDO'!BQ83</f>
        <v>2.449288600732933E-2</v>
      </c>
      <c r="BQ84" s="209">
        <f>'SIMULADOR COM SALDO'!BR83</f>
        <v>2.29E-2</v>
      </c>
      <c r="BR84" s="209">
        <f>'SIMULADOR COM SALDO'!BS83</f>
        <v>2.9999999999999997E-4</v>
      </c>
    </row>
    <row r="85" spans="2:70" hidden="1" x14ac:dyDescent="0.25">
      <c r="B85">
        <v>48</v>
      </c>
      <c r="C85" s="13">
        <f t="shared" ca="1" si="46"/>
        <v>46609</v>
      </c>
      <c r="D85" s="14">
        <f t="shared" ca="1" si="37"/>
        <v>113.31372330858079</v>
      </c>
      <c r="E85" s="14">
        <f t="shared" ca="1" si="47"/>
        <v>102.28318387146231</v>
      </c>
      <c r="F85" s="14">
        <f t="shared" si="47"/>
        <v>0</v>
      </c>
      <c r="G85" s="14">
        <f t="shared" si="47"/>
        <v>0</v>
      </c>
      <c r="H85" s="14">
        <f t="shared" si="47"/>
        <v>0</v>
      </c>
      <c r="I85" s="14">
        <f t="shared" si="47"/>
        <v>0</v>
      </c>
      <c r="J85" s="14">
        <f t="shared" si="47"/>
        <v>0</v>
      </c>
      <c r="K85" s="14">
        <f t="shared" si="47"/>
        <v>0</v>
      </c>
      <c r="L85" s="14">
        <f t="shared" si="47"/>
        <v>0</v>
      </c>
      <c r="M85" s="224">
        <f t="shared" si="47"/>
        <v>0</v>
      </c>
      <c r="N85" s="216"/>
      <c r="O85" s="216"/>
      <c r="P85" s="161">
        <v>70</v>
      </c>
      <c r="Q85" s="161">
        <f t="shared" si="48"/>
        <v>0</v>
      </c>
      <c r="R85" s="161">
        <f t="shared" si="25"/>
        <v>0</v>
      </c>
      <c r="S85" s="161">
        <f t="shared" si="26"/>
        <v>0</v>
      </c>
      <c r="T85" s="161">
        <f t="shared" si="27"/>
        <v>0</v>
      </c>
      <c r="U85" s="161">
        <f t="shared" si="28"/>
        <v>0</v>
      </c>
      <c r="V85" s="161">
        <f t="shared" si="29"/>
        <v>0</v>
      </c>
      <c r="W85" s="161">
        <f t="shared" si="30"/>
        <v>0</v>
      </c>
      <c r="X85" s="161">
        <f t="shared" si="31"/>
        <v>0</v>
      </c>
      <c r="Y85" s="161">
        <f t="shared" si="32"/>
        <v>0</v>
      </c>
      <c r="Z85" s="161">
        <f t="shared" si="33"/>
        <v>0</v>
      </c>
      <c r="AB85" s="168">
        <v>62</v>
      </c>
      <c r="AC85" s="213">
        <f t="shared" ca="1" si="43"/>
        <v>47036</v>
      </c>
      <c r="AD85" s="214">
        <f t="shared" si="39"/>
        <v>0</v>
      </c>
      <c r="AE85" s="168"/>
      <c r="AF85" s="168">
        <v>62</v>
      </c>
      <c r="AG85" s="213">
        <f t="shared" ca="1" si="44"/>
        <v>47036</v>
      </c>
      <c r="AH85" s="208">
        <f t="shared" si="13"/>
        <v>532.75</v>
      </c>
      <c r="AI85" s="215">
        <f t="shared" ca="1" si="40"/>
        <v>164.12113288326535</v>
      </c>
      <c r="AJ85" s="168">
        <v>62</v>
      </c>
      <c r="AK85" s="213">
        <f t="shared" ca="1" si="45"/>
        <v>47036</v>
      </c>
      <c r="AL85" s="208">
        <f t="shared" si="15"/>
        <v>532.75</v>
      </c>
      <c r="AN85" s="168">
        <v>62</v>
      </c>
      <c r="AO85" s="189">
        <f t="shared" ca="1" si="8"/>
        <v>47036</v>
      </c>
      <c r="BC85" s="186" t="str">
        <f t="shared" si="41"/>
        <v>5GOV SP PM PORT</v>
      </c>
      <c r="BD85" s="186">
        <f t="shared" si="42"/>
        <v>5</v>
      </c>
      <c r="BE85" s="209" t="str">
        <f>'SIMULADOR COM SALDO'!BF84</f>
        <v>GOV SP PM PORT</v>
      </c>
      <c r="BF85" s="209" t="str">
        <f>'SIMULADOR COM SALDO'!BG84</f>
        <v>705189 - Tabela 5</v>
      </c>
      <c r="BG85" s="209">
        <f>'SIMULADOR COM SALDO'!BH84</f>
        <v>1.8500000000000003E-2</v>
      </c>
      <c r="BH85" s="209">
        <f>'SIMULADOR COM SALDO'!BI84</f>
        <v>96</v>
      </c>
      <c r="BI85" s="209" t="str">
        <f>'SIMULADOR COM SALDO'!BJ84</f>
        <v/>
      </c>
      <c r="BJ85" s="209">
        <f>'SIMULADOR COM SALDO'!BK84</f>
        <v>2.29</v>
      </c>
      <c r="BK85" s="209">
        <f>'SIMULADOR COM SALDO'!BL84</f>
        <v>10</v>
      </c>
      <c r="BL85" s="209">
        <f>'SIMULADOR COM SALDO'!BM84</f>
        <v>47</v>
      </c>
      <c r="BM85" s="209" t="str">
        <f>'SIMULADOR COM SALDO'!BN84</f>
        <v>RFN - GOV SP - PM 5 PORTAB DIG</v>
      </c>
      <c r="BN85" s="209" t="str">
        <f>'SIMULADOR COM SALDO'!BO84</f>
        <v>1,44</v>
      </c>
      <c r="BO85" s="209">
        <f>'SIMULADOR COM SALDO'!BP84</f>
        <v>1.44E-2</v>
      </c>
      <c r="BP85" s="209">
        <f>'SIMULADOR COM SALDO'!BQ84</f>
        <v>2.32597834589468E-2</v>
      </c>
      <c r="BQ85" s="209">
        <f>'SIMULADOR COM SALDO'!BR84</f>
        <v>2.29E-2</v>
      </c>
      <c r="BR85" s="209">
        <f>'SIMULADOR COM SALDO'!BS84</f>
        <v>2.9999999999999997E-4</v>
      </c>
    </row>
    <row r="86" spans="2:70" hidden="1" x14ac:dyDescent="0.25">
      <c r="B86">
        <v>49</v>
      </c>
      <c r="C86" s="13">
        <f t="shared" ca="1" si="46"/>
        <v>46640</v>
      </c>
      <c r="D86" s="14">
        <f t="shared" ca="1" si="37"/>
        <v>111.15539591798374</v>
      </c>
      <c r="E86" s="14">
        <f t="shared" ref="E86:M101" ca="1" si="49">IF($B86&lt;=E$20,E$17/(($C$36+1)^(($C86-$C$37)/30)),0)</f>
        <v>100.33495914720655</v>
      </c>
      <c r="F86" s="14">
        <f t="shared" si="49"/>
        <v>0</v>
      </c>
      <c r="G86" s="14">
        <f t="shared" si="49"/>
        <v>0</v>
      </c>
      <c r="H86" s="14">
        <f t="shared" si="49"/>
        <v>0</v>
      </c>
      <c r="I86" s="14">
        <f t="shared" si="49"/>
        <v>0</v>
      </c>
      <c r="J86" s="14">
        <f t="shared" si="49"/>
        <v>0</v>
      </c>
      <c r="K86" s="14">
        <f t="shared" si="49"/>
        <v>0</v>
      </c>
      <c r="L86" s="14">
        <f t="shared" si="49"/>
        <v>0</v>
      </c>
      <c r="M86" s="224">
        <f t="shared" si="49"/>
        <v>0</v>
      </c>
      <c r="N86" s="216"/>
      <c r="O86" s="216"/>
      <c r="P86" s="161">
        <v>71</v>
      </c>
      <c r="Q86" s="161">
        <f t="shared" si="48"/>
        <v>0</v>
      </c>
      <c r="R86" s="161">
        <f t="shared" si="25"/>
        <v>0</v>
      </c>
      <c r="S86" s="161">
        <f t="shared" si="26"/>
        <v>0</v>
      </c>
      <c r="T86" s="161">
        <f t="shared" si="27"/>
        <v>0</v>
      </c>
      <c r="U86" s="161">
        <f t="shared" si="28"/>
        <v>0</v>
      </c>
      <c r="V86" s="161">
        <f t="shared" si="29"/>
        <v>0</v>
      </c>
      <c r="W86" s="161">
        <f t="shared" si="30"/>
        <v>0</v>
      </c>
      <c r="X86" s="161">
        <f t="shared" si="31"/>
        <v>0</v>
      </c>
      <c r="Y86" s="161">
        <f t="shared" si="32"/>
        <v>0</v>
      </c>
      <c r="Z86" s="161">
        <f t="shared" si="33"/>
        <v>0</v>
      </c>
      <c r="AB86" s="168">
        <v>63</v>
      </c>
      <c r="AC86" s="213">
        <f t="shared" ca="1" si="43"/>
        <v>47067</v>
      </c>
      <c r="AD86" s="214">
        <f t="shared" si="39"/>
        <v>0</v>
      </c>
      <c r="AE86" s="168"/>
      <c r="AF86" s="168">
        <v>63</v>
      </c>
      <c r="AG86" s="213">
        <f t="shared" ca="1" si="44"/>
        <v>47067</v>
      </c>
      <c r="AH86" s="208">
        <f t="shared" si="13"/>
        <v>532.75</v>
      </c>
      <c r="AI86" s="215">
        <f t="shared" ca="1" si="40"/>
        <v>160.94363695117937</v>
      </c>
      <c r="AJ86" s="168">
        <v>63</v>
      </c>
      <c r="AK86" s="213">
        <f t="shared" ca="1" si="45"/>
        <v>47067</v>
      </c>
      <c r="AL86" s="208">
        <f t="shared" si="15"/>
        <v>532.75</v>
      </c>
      <c r="AN86" s="168">
        <v>63</v>
      </c>
      <c r="AO86" s="189">
        <f t="shared" ca="1" si="8"/>
        <v>47067</v>
      </c>
      <c r="BC86" s="186" t="str">
        <f t="shared" si="41"/>
        <v>1GOV. MS</v>
      </c>
      <c r="BD86" s="186">
        <f t="shared" si="42"/>
        <v>1</v>
      </c>
      <c r="BE86" s="209" t="str">
        <f>'SIMULADOR COM SALDO'!BF85</f>
        <v>GOV. MS</v>
      </c>
      <c r="BF86" s="209" t="str">
        <f>'SIMULADOR COM SALDO'!BG85</f>
        <v>705276 - Tabela 1</v>
      </c>
      <c r="BG86" s="209">
        <f>'SIMULADOR COM SALDO'!BH85</f>
        <v>1.9E-2</v>
      </c>
      <c r="BH86" s="209">
        <f>'SIMULADOR COM SALDO'!BI85</f>
        <v>120</v>
      </c>
      <c r="BI86" s="209" t="str">
        <f>'SIMULADOR COM SALDO'!BJ85</f>
        <v/>
      </c>
      <c r="BJ86" s="209">
        <f>'SIMULADOR COM SALDO'!BK85</f>
        <v>2.1</v>
      </c>
      <c r="BK86" s="209">
        <f>'SIMULADOR COM SALDO'!BL85</f>
        <v>5</v>
      </c>
      <c r="BL86" s="209">
        <f>'SIMULADOR COM SALDO'!BM85</f>
        <v>68</v>
      </c>
      <c r="BM86" s="209" t="str">
        <f>'SIMULADOR COM SALDO'!BN85</f>
        <v>RFN - GOV. MS DIG 1 PORTAB</v>
      </c>
      <c r="BN86" s="209" t="str">
        <f>'SIMULADOR COM SALDO'!BO85</f>
        <v>1,55</v>
      </c>
      <c r="BO86" s="209">
        <f>'SIMULADOR COM SALDO'!BP85</f>
        <v>1.55E-2</v>
      </c>
      <c r="BP86" s="209">
        <f>'SIMULADOR COM SALDO'!BQ85</f>
        <v>2.2384568748412749E-2</v>
      </c>
      <c r="BQ86" s="209">
        <f>'SIMULADOR COM SALDO'!BR85</f>
        <v>2.1000000000000001E-2</v>
      </c>
      <c r="BR86" s="209">
        <f>'SIMULADOR COM SALDO'!BS85</f>
        <v>2.9999999999999997E-4</v>
      </c>
    </row>
    <row r="87" spans="2:70" hidden="1" x14ac:dyDescent="0.25">
      <c r="B87">
        <v>50</v>
      </c>
      <c r="C87" s="13">
        <f t="shared" ca="1" si="46"/>
        <v>46670</v>
      </c>
      <c r="D87" s="14">
        <f t="shared" ca="1" si="37"/>
        <v>109.10584266354897</v>
      </c>
      <c r="E87" s="14">
        <f t="shared" ca="1" si="49"/>
        <v>98.484919926389338</v>
      </c>
      <c r="F87" s="14">
        <f t="shared" si="49"/>
        <v>0</v>
      </c>
      <c r="G87" s="14">
        <f t="shared" si="49"/>
        <v>0</v>
      </c>
      <c r="H87" s="14">
        <f t="shared" si="49"/>
        <v>0</v>
      </c>
      <c r="I87" s="14">
        <f t="shared" si="49"/>
        <v>0</v>
      </c>
      <c r="J87" s="14">
        <f t="shared" si="49"/>
        <v>0</v>
      </c>
      <c r="K87" s="14">
        <f t="shared" si="49"/>
        <v>0</v>
      </c>
      <c r="L87" s="14">
        <f t="shared" si="49"/>
        <v>0</v>
      </c>
      <c r="M87" s="224">
        <f t="shared" si="49"/>
        <v>0</v>
      </c>
      <c r="N87" s="216"/>
      <c r="O87" s="216"/>
      <c r="P87" s="161">
        <v>72</v>
      </c>
      <c r="Q87" s="161">
        <f t="shared" si="48"/>
        <v>0</v>
      </c>
      <c r="R87" s="161">
        <f t="shared" si="25"/>
        <v>0</v>
      </c>
      <c r="S87" s="161">
        <f t="shared" si="26"/>
        <v>0</v>
      </c>
      <c r="T87" s="161">
        <f t="shared" si="27"/>
        <v>0</v>
      </c>
      <c r="U87" s="161">
        <f t="shared" si="28"/>
        <v>0</v>
      </c>
      <c r="V87" s="161">
        <f t="shared" si="29"/>
        <v>0</v>
      </c>
      <c r="W87" s="161">
        <f t="shared" si="30"/>
        <v>0</v>
      </c>
      <c r="X87" s="161">
        <f t="shared" si="31"/>
        <v>0</v>
      </c>
      <c r="Y87" s="161">
        <f t="shared" si="32"/>
        <v>0</v>
      </c>
      <c r="Z87" s="161">
        <f t="shared" si="33"/>
        <v>0</v>
      </c>
      <c r="AB87" s="168">
        <v>64</v>
      </c>
      <c r="AC87" s="213">
        <f t="shared" ca="1" si="43"/>
        <v>47097</v>
      </c>
      <c r="AD87" s="214">
        <f t="shared" si="39"/>
        <v>0</v>
      </c>
      <c r="AE87" s="168"/>
      <c r="AF87" s="168">
        <v>64</v>
      </c>
      <c r="AG87" s="213">
        <f t="shared" ca="1" si="44"/>
        <v>47097</v>
      </c>
      <c r="AH87" s="208">
        <f t="shared" si="13"/>
        <v>532.75</v>
      </c>
      <c r="AI87" s="215">
        <f t="shared" ca="1" si="40"/>
        <v>157.92722691706345</v>
      </c>
      <c r="AJ87" s="168">
        <v>64</v>
      </c>
      <c r="AK87" s="213">
        <f t="shared" ca="1" si="45"/>
        <v>47097</v>
      </c>
      <c r="AL87" s="208">
        <f t="shared" si="15"/>
        <v>532.75</v>
      </c>
      <c r="AN87" s="168">
        <v>64</v>
      </c>
      <c r="AO87" s="189">
        <f t="shared" ca="1" si="8"/>
        <v>47097</v>
      </c>
      <c r="BC87" s="186" t="str">
        <f t="shared" si="41"/>
        <v>2GOV. MS</v>
      </c>
      <c r="BD87" s="186">
        <f t="shared" si="42"/>
        <v>2</v>
      </c>
      <c r="BE87" s="209" t="str">
        <f>'SIMULADOR COM SALDO'!BF86</f>
        <v>GOV. MS</v>
      </c>
      <c r="BF87" s="209" t="str">
        <f>'SIMULADOR COM SALDO'!BG86</f>
        <v>705277 - Tabela 2</v>
      </c>
      <c r="BG87" s="209">
        <f>'SIMULADOR COM SALDO'!BH86</f>
        <v>1.8500000000000003E-2</v>
      </c>
      <c r="BH87" s="209">
        <f>'SIMULADOR COM SALDO'!BI86</f>
        <v>120</v>
      </c>
      <c r="BI87" s="209" t="str">
        <f>'SIMULADOR COM SALDO'!BJ86</f>
        <v/>
      </c>
      <c r="BJ87" s="209">
        <f>'SIMULADOR COM SALDO'!BK86</f>
        <v>2.1</v>
      </c>
      <c r="BK87" s="209">
        <f>'SIMULADOR COM SALDO'!BL86</f>
        <v>5</v>
      </c>
      <c r="BL87" s="209">
        <f>'SIMULADOR COM SALDO'!BM86</f>
        <v>76</v>
      </c>
      <c r="BM87" s="209" t="str">
        <f>'SIMULADOR COM SALDO'!BN86</f>
        <v>RFN - GOV. MS DIG 2 PORTAB</v>
      </c>
      <c r="BN87" s="209" t="str">
        <f>'SIMULADOR COM SALDO'!BO86</f>
        <v>1,55</v>
      </c>
      <c r="BO87" s="209">
        <f>'SIMULADOR COM SALDO'!BP86</f>
        <v>1.55E-2</v>
      </c>
      <c r="BP87" s="209">
        <f>'SIMULADOR COM SALDO'!BQ86</f>
        <v>2.2044744510534047E-2</v>
      </c>
      <c r="BQ87" s="209">
        <f>'SIMULADOR COM SALDO'!BR86</f>
        <v>2.1000000000000001E-2</v>
      </c>
      <c r="BR87" s="209">
        <f>'SIMULADOR COM SALDO'!BS86</f>
        <v>2.9999999999999997E-4</v>
      </c>
    </row>
    <row r="88" spans="2:70" hidden="1" x14ac:dyDescent="0.25">
      <c r="B88">
        <v>51</v>
      </c>
      <c r="C88" s="13">
        <f t="shared" ca="1" si="46"/>
        <v>46701</v>
      </c>
      <c r="D88" s="14">
        <f t="shared" ca="1" si="37"/>
        <v>107.02766429451219</v>
      </c>
      <c r="E88" s="14">
        <f t="shared" ca="1" si="49"/>
        <v>96.609042106550817</v>
      </c>
      <c r="F88" s="14">
        <f t="shared" si="49"/>
        <v>0</v>
      </c>
      <c r="G88" s="14">
        <f t="shared" si="49"/>
        <v>0</v>
      </c>
      <c r="H88" s="14">
        <f t="shared" si="49"/>
        <v>0</v>
      </c>
      <c r="I88" s="14">
        <f t="shared" si="49"/>
        <v>0</v>
      </c>
      <c r="J88" s="14">
        <f t="shared" si="49"/>
        <v>0</v>
      </c>
      <c r="K88" s="14">
        <f t="shared" si="49"/>
        <v>0</v>
      </c>
      <c r="L88" s="14">
        <f t="shared" si="49"/>
        <v>0</v>
      </c>
      <c r="M88" s="224">
        <f t="shared" si="49"/>
        <v>0</v>
      </c>
      <c r="N88" s="216"/>
      <c r="O88" s="216"/>
      <c r="P88" s="161">
        <v>73</v>
      </c>
      <c r="Q88" s="161">
        <f t="shared" si="48"/>
        <v>0</v>
      </c>
      <c r="R88" s="161">
        <f t="shared" si="25"/>
        <v>0</v>
      </c>
      <c r="S88" s="161">
        <f t="shared" si="26"/>
        <v>0</v>
      </c>
      <c r="T88" s="161">
        <f t="shared" si="27"/>
        <v>0</v>
      </c>
      <c r="U88" s="161">
        <f t="shared" si="28"/>
        <v>0</v>
      </c>
      <c r="V88" s="161">
        <f t="shared" si="29"/>
        <v>0</v>
      </c>
      <c r="W88" s="161">
        <f t="shared" si="30"/>
        <v>0</v>
      </c>
      <c r="X88" s="161">
        <f t="shared" si="31"/>
        <v>0</v>
      </c>
      <c r="Y88" s="161">
        <f t="shared" si="32"/>
        <v>0</v>
      </c>
      <c r="Z88" s="161">
        <f t="shared" si="33"/>
        <v>0</v>
      </c>
      <c r="AB88" s="168">
        <v>65</v>
      </c>
      <c r="AC88" s="213">
        <f t="shared" ca="1" si="43"/>
        <v>47128</v>
      </c>
      <c r="AD88" s="214">
        <f t="shared" ref="AD88:AD107" si="50">SUM(Q80:Z80)</f>
        <v>0</v>
      </c>
      <c r="AE88" s="168"/>
      <c r="AF88" s="168">
        <v>65</v>
      </c>
      <c r="AG88" s="213">
        <f t="shared" ca="1" si="44"/>
        <v>47128</v>
      </c>
      <c r="AH88" s="208">
        <f t="shared" si="13"/>
        <v>532.75</v>
      </c>
      <c r="AI88" s="215">
        <f t="shared" ref="AI88:AI108" ca="1" si="51">AH88/(1+$AH$20)^((AG88-$AG$23)/30)</f>
        <v>154.86964918603772</v>
      </c>
      <c r="AJ88" s="168">
        <v>65</v>
      </c>
      <c r="AK88" s="213">
        <f t="shared" ca="1" si="45"/>
        <v>47128</v>
      </c>
      <c r="AL88" s="208">
        <f t="shared" si="15"/>
        <v>532.75</v>
      </c>
      <c r="AN88" s="168">
        <v>65</v>
      </c>
      <c r="AO88" s="189">
        <f t="shared" ref="AO88:AO119" ca="1" si="52">AK88</f>
        <v>47128</v>
      </c>
      <c r="BC88" s="186" t="str">
        <f t="shared" ref="BC88:BC119" si="53">CONCATENATE(BD88,BE88)</f>
        <v>3GOV. MS</v>
      </c>
      <c r="BD88" s="186">
        <f t="shared" ref="BD88:BD119" si="54">IF(BE88=BE87,BD87+1,1)</f>
        <v>3</v>
      </c>
      <c r="BE88" s="209" t="str">
        <f>'SIMULADOR COM SALDO'!BF87</f>
        <v>GOV. MS</v>
      </c>
      <c r="BF88" s="209" t="str">
        <f>'SIMULADOR COM SALDO'!BG87</f>
        <v>705278 - Tabela 3</v>
      </c>
      <c r="BG88" s="209">
        <f>'SIMULADOR COM SALDO'!BH87</f>
        <v>1.8000000000000002E-2</v>
      </c>
      <c r="BH88" s="209">
        <f>'SIMULADOR COM SALDO'!BI87</f>
        <v>120</v>
      </c>
      <c r="BI88" s="209" t="str">
        <f>'SIMULADOR COM SALDO'!BJ87</f>
        <v/>
      </c>
      <c r="BJ88" s="209">
        <f>'SIMULADOR COM SALDO'!BK87</f>
        <v>2.1</v>
      </c>
      <c r="BK88" s="209">
        <f>'SIMULADOR COM SALDO'!BL87</f>
        <v>5</v>
      </c>
      <c r="BL88" s="209">
        <f>'SIMULADOR COM SALDO'!BM87</f>
        <v>70</v>
      </c>
      <c r="BM88" s="209" t="str">
        <f>'SIMULADOR COM SALDO'!BN87</f>
        <v>RFN - GOV. MS DIG 3 PORTAB</v>
      </c>
      <c r="BN88" s="209" t="str">
        <f>'SIMULADOR COM SALDO'!BO87</f>
        <v>1,55</v>
      </c>
      <c r="BO88" s="209">
        <f>'SIMULADOR COM SALDO'!BP87</f>
        <v>1.55E-2</v>
      </c>
      <c r="BP88" s="209">
        <f>'SIMULADOR COM SALDO'!BQ87</f>
        <v>2.1519269729047531E-2</v>
      </c>
      <c r="BQ88" s="209">
        <f>'SIMULADOR COM SALDO'!BR87</f>
        <v>2.1000000000000001E-2</v>
      </c>
      <c r="BR88" s="209">
        <f>'SIMULADOR COM SALDO'!BS87</f>
        <v>2.9999999999999997E-4</v>
      </c>
    </row>
    <row r="89" spans="2:70" hidden="1" x14ac:dyDescent="0.25">
      <c r="B89">
        <v>52</v>
      </c>
      <c r="C89" s="13">
        <f t="shared" ca="1" si="46"/>
        <v>46731</v>
      </c>
      <c r="D89" s="14">
        <f t="shared" ca="1" si="37"/>
        <v>105.05422075758101</v>
      </c>
      <c r="E89" s="14">
        <f t="shared" ca="1" si="49"/>
        <v>94.827703692683741</v>
      </c>
      <c r="F89" s="14">
        <f t="shared" si="49"/>
        <v>0</v>
      </c>
      <c r="G89" s="14">
        <f t="shared" si="49"/>
        <v>0</v>
      </c>
      <c r="H89" s="14">
        <f t="shared" si="49"/>
        <v>0</v>
      </c>
      <c r="I89" s="14">
        <f t="shared" si="49"/>
        <v>0</v>
      </c>
      <c r="J89" s="14">
        <f t="shared" si="49"/>
        <v>0</v>
      </c>
      <c r="K89" s="14">
        <f t="shared" si="49"/>
        <v>0</v>
      </c>
      <c r="L89" s="14">
        <f t="shared" si="49"/>
        <v>0</v>
      </c>
      <c r="M89" s="224">
        <f t="shared" si="49"/>
        <v>0</v>
      </c>
      <c r="N89" s="216"/>
      <c r="O89" s="216"/>
      <c r="P89" s="161">
        <v>74</v>
      </c>
      <c r="Q89" s="161">
        <f t="shared" si="48"/>
        <v>0</v>
      </c>
      <c r="R89" s="161">
        <f t="shared" si="25"/>
        <v>0</v>
      </c>
      <c r="S89" s="161">
        <f t="shared" si="26"/>
        <v>0</v>
      </c>
      <c r="T89" s="161">
        <f t="shared" si="27"/>
        <v>0</v>
      </c>
      <c r="U89" s="161">
        <f t="shared" si="28"/>
        <v>0</v>
      </c>
      <c r="V89" s="161">
        <f t="shared" si="29"/>
        <v>0</v>
      </c>
      <c r="W89" s="161">
        <f t="shared" si="30"/>
        <v>0</v>
      </c>
      <c r="X89" s="161">
        <f t="shared" si="31"/>
        <v>0</v>
      </c>
      <c r="Y89" s="161">
        <f t="shared" si="32"/>
        <v>0</v>
      </c>
      <c r="Z89" s="161">
        <f t="shared" si="33"/>
        <v>0</v>
      </c>
      <c r="AB89" s="168">
        <v>66</v>
      </c>
      <c r="AC89" s="213">
        <f t="shared" ref="AC89:AC107" ca="1" si="55">EDATE(AC88,1)</f>
        <v>47159</v>
      </c>
      <c r="AD89" s="214">
        <f t="shared" si="50"/>
        <v>0</v>
      </c>
      <c r="AE89" s="168"/>
      <c r="AF89" s="168">
        <v>66</v>
      </c>
      <c r="AG89" s="213">
        <f t="shared" ref="AG89:AG107" ca="1" si="56">EDATE(AG88,1)</f>
        <v>47159</v>
      </c>
      <c r="AH89" s="208">
        <f t="shared" ref="AH89:AH152" si="57">IF(AF89&gt;$AL$19,0,AL89-AD89)</f>
        <v>532.75</v>
      </c>
      <c r="AI89" s="215">
        <f t="shared" ca="1" si="51"/>
        <v>151.87126822407939</v>
      </c>
      <c r="AJ89" s="168">
        <v>66</v>
      </c>
      <c r="AK89" s="213">
        <f t="shared" ref="AK89:AK107" ca="1" si="58">EDATE(AK88,1)</f>
        <v>47159</v>
      </c>
      <c r="AL89" s="208">
        <f t="shared" ref="AL89:AL152" si="59">IF(AJ89&gt;$AL$19,0,$AL$18)</f>
        <v>532.75</v>
      </c>
      <c r="AN89" s="168">
        <v>66</v>
      </c>
      <c r="AO89" s="189">
        <f t="shared" ca="1" si="52"/>
        <v>47159</v>
      </c>
      <c r="BC89" s="186" t="str">
        <f t="shared" si="53"/>
        <v>1GOV. PIAUI</v>
      </c>
      <c r="BD89" s="186">
        <f t="shared" si="54"/>
        <v>1</v>
      </c>
      <c r="BE89" s="209" t="str">
        <f>'SIMULADOR COM SALDO'!BF88</f>
        <v>GOV. PIAUI</v>
      </c>
      <c r="BF89" s="209" t="str">
        <f>'SIMULADOR COM SALDO'!BG88</f>
        <v>785931 - Tabela 1</v>
      </c>
      <c r="BG89" s="209">
        <f>'SIMULADOR COM SALDO'!BH88</f>
        <v>1.95E-2</v>
      </c>
      <c r="BH89" s="209">
        <f>'SIMULADOR COM SALDO'!BI88</f>
        <v>96</v>
      </c>
      <c r="BI89" s="209" t="str">
        <f>'SIMULADOR COM SALDO'!BJ88</f>
        <v/>
      </c>
      <c r="BJ89" s="209">
        <f>'SIMULADOR COM SALDO'!BK88</f>
        <v>2.4</v>
      </c>
      <c r="BK89" s="209">
        <f>'SIMULADOR COM SALDO'!BL88</f>
        <v>10</v>
      </c>
      <c r="BL89" s="209">
        <f>'SIMULADOR COM SALDO'!BM88</f>
        <v>65</v>
      </c>
      <c r="BM89" s="209" t="str">
        <f>'SIMULADOR COM SALDO'!BN88</f>
        <v>RFN - GOV PIAUI 1 DIG PORTAB</v>
      </c>
      <c r="BN89" s="209" t="str">
        <f>'SIMULADOR COM SALDO'!BO88</f>
        <v>1,7</v>
      </c>
      <c r="BO89" s="209">
        <f>'SIMULADOR COM SALDO'!BP88</f>
        <v>1.7000000000000001E-2</v>
      </c>
      <c r="BP89" s="209">
        <f>'SIMULADOR COM SALDO'!BQ88</f>
        <v>2.4361350281519034E-2</v>
      </c>
      <c r="BQ89" s="209">
        <f>'SIMULADOR COM SALDO'!BR88</f>
        <v>2.4E-2</v>
      </c>
      <c r="BR89" s="209">
        <f>'SIMULADOR COM SALDO'!BS88</f>
        <v>2.9999999999999997E-4</v>
      </c>
    </row>
    <row r="90" spans="2:70" hidden="1" x14ac:dyDescent="0.25">
      <c r="B90">
        <v>53</v>
      </c>
      <c r="C90" s="13">
        <f t="shared" ca="1" si="46"/>
        <v>46762</v>
      </c>
      <c r="D90" s="14">
        <f t="shared" ca="1" si="37"/>
        <v>103.05321509349704</v>
      </c>
      <c r="E90" s="14">
        <f t="shared" ca="1" si="49"/>
        <v>93.021486190590238</v>
      </c>
      <c r="F90" s="14">
        <f t="shared" si="49"/>
        <v>0</v>
      </c>
      <c r="G90" s="14">
        <f t="shared" si="49"/>
        <v>0</v>
      </c>
      <c r="H90" s="14">
        <f t="shared" si="49"/>
        <v>0</v>
      </c>
      <c r="I90" s="14">
        <f t="shared" si="49"/>
        <v>0</v>
      </c>
      <c r="J90" s="14">
        <f t="shared" si="49"/>
        <v>0</v>
      </c>
      <c r="K90" s="14">
        <f t="shared" si="49"/>
        <v>0</v>
      </c>
      <c r="L90" s="14">
        <f t="shared" si="49"/>
        <v>0</v>
      </c>
      <c r="M90" s="224">
        <f t="shared" si="49"/>
        <v>0</v>
      </c>
      <c r="N90" s="216"/>
      <c r="O90" s="216"/>
      <c r="P90" s="161">
        <v>75</v>
      </c>
      <c r="Q90" s="161">
        <f t="shared" si="48"/>
        <v>0</v>
      </c>
      <c r="R90" s="161">
        <f t="shared" si="25"/>
        <v>0</v>
      </c>
      <c r="S90" s="161">
        <f t="shared" si="26"/>
        <v>0</v>
      </c>
      <c r="T90" s="161">
        <f t="shared" si="27"/>
        <v>0</v>
      </c>
      <c r="U90" s="161">
        <f t="shared" si="28"/>
        <v>0</v>
      </c>
      <c r="V90" s="161">
        <f t="shared" si="29"/>
        <v>0</v>
      </c>
      <c r="W90" s="161">
        <f t="shared" si="30"/>
        <v>0</v>
      </c>
      <c r="X90" s="161">
        <f t="shared" si="31"/>
        <v>0</v>
      </c>
      <c r="Y90" s="161">
        <f t="shared" si="32"/>
        <v>0</v>
      </c>
      <c r="Z90" s="161">
        <f t="shared" si="33"/>
        <v>0</v>
      </c>
      <c r="AB90" s="168">
        <v>67</v>
      </c>
      <c r="AC90" s="213">
        <f t="shared" ca="1" si="55"/>
        <v>47187</v>
      </c>
      <c r="AD90" s="214">
        <f t="shared" si="50"/>
        <v>0</v>
      </c>
      <c r="AE90" s="168"/>
      <c r="AF90" s="168">
        <v>67</v>
      </c>
      <c r="AG90" s="213">
        <f t="shared" ca="1" si="56"/>
        <v>47187</v>
      </c>
      <c r="AH90" s="208">
        <f t="shared" si="57"/>
        <v>532.75</v>
      </c>
      <c r="AI90" s="215">
        <f t="shared" ca="1" si="51"/>
        <v>149.21298028776036</v>
      </c>
      <c r="AJ90" s="168">
        <v>67</v>
      </c>
      <c r="AK90" s="213">
        <f t="shared" ca="1" si="58"/>
        <v>47187</v>
      </c>
      <c r="AL90" s="208">
        <f t="shared" si="59"/>
        <v>532.75</v>
      </c>
      <c r="AN90" s="168">
        <v>67</v>
      </c>
      <c r="AO90" s="189">
        <f t="shared" ca="1" si="52"/>
        <v>47187</v>
      </c>
      <c r="BC90" s="186" t="str">
        <f t="shared" si="53"/>
        <v>2GOV. PIAUI</v>
      </c>
      <c r="BD90" s="186">
        <f t="shared" si="54"/>
        <v>2</v>
      </c>
      <c r="BE90" s="209" t="str">
        <f>'SIMULADOR COM SALDO'!BF89</f>
        <v>GOV. PIAUI</v>
      </c>
      <c r="BF90" s="209" t="str">
        <f>'SIMULADOR COM SALDO'!BG89</f>
        <v>785933 - Tabela 2</v>
      </c>
      <c r="BG90" s="209">
        <f>'SIMULADOR COM SALDO'!BH89</f>
        <v>1.8500000000000003E-2</v>
      </c>
      <c r="BH90" s="209">
        <f>'SIMULADOR COM SALDO'!BI89</f>
        <v>96</v>
      </c>
      <c r="BI90" s="209" t="str">
        <f>'SIMULADOR COM SALDO'!BJ89</f>
        <v/>
      </c>
      <c r="BJ90" s="209">
        <f>'SIMULADOR COM SALDO'!BK89</f>
        <v>2.4</v>
      </c>
      <c r="BK90" s="209">
        <f>'SIMULADOR COM SALDO'!BL89</f>
        <v>10</v>
      </c>
      <c r="BL90" s="209">
        <f>'SIMULADOR COM SALDO'!BM89</f>
        <v>65</v>
      </c>
      <c r="BM90" s="209" t="str">
        <f>'SIMULADOR COM SALDO'!BN89</f>
        <v>RFN - GOV PIAUI 2 DIG PORTAB</v>
      </c>
      <c r="BN90" s="209" t="str">
        <f>'SIMULADOR COM SALDO'!BO89</f>
        <v>1,7</v>
      </c>
      <c r="BO90" s="209">
        <f>'SIMULADOR COM SALDO'!BP89</f>
        <v>1.7000000000000001E-2</v>
      </c>
      <c r="BP90" s="209">
        <f>'SIMULADOR COM SALDO'!BQ89</f>
        <v>2.3517019932870937E-2</v>
      </c>
      <c r="BQ90" s="209">
        <f>'SIMULADOR COM SALDO'!BR89</f>
        <v>2.4E-2</v>
      </c>
      <c r="BR90" s="209">
        <f>'SIMULADOR COM SALDO'!BS89</f>
        <v>2.9999999999999997E-4</v>
      </c>
    </row>
    <row r="91" spans="2:70" hidden="1" x14ac:dyDescent="0.25">
      <c r="B91">
        <v>54</v>
      </c>
      <c r="C91" s="13">
        <f t="shared" ca="1" si="46"/>
        <v>46793</v>
      </c>
      <c r="D91" s="14">
        <f t="shared" ca="1" si="37"/>
        <v>101.0903233065978</v>
      </c>
      <c r="E91" s="14">
        <f t="shared" ca="1" si="49"/>
        <v>91.249672365247562</v>
      </c>
      <c r="F91" s="14">
        <f t="shared" si="49"/>
        <v>0</v>
      </c>
      <c r="G91" s="14">
        <f t="shared" si="49"/>
        <v>0</v>
      </c>
      <c r="H91" s="14">
        <f t="shared" si="49"/>
        <v>0</v>
      </c>
      <c r="I91" s="14">
        <f t="shared" si="49"/>
        <v>0</v>
      </c>
      <c r="J91" s="14">
        <f t="shared" si="49"/>
        <v>0</v>
      </c>
      <c r="K91" s="14">
        <f t="shared" si="49"/>
        <v>0</v>
      </c>
      <c r="L91" s="14">
        <f t="shared" si="49"/>
        <v>0</v>
      </c>
      <c r="M91" s="224">
        <f t="shared" si="49"/>
        <v>0</v>
      </c>
      <c r="N91" s="216"/>
      <c r="O91" s="216"/>
      <c r="P91" s="161">
        <v>76</v>
      </c>
      <c r="Q91" s="161">
        <f t="shared" si="48"/>
        <v>0</v>
      </c>
      <c r="R91" s="161">
        <f t="shared" si="25"/>
        <v>0</v>
      </c>
      <c r="S91" s="161">
        <f t="shared" si="26"/>
        <v>0</v>
      </c>
      <c r="T91" s="161">
        <f t="shared" si="27"/>
        <v>0</v>
      </c>
      <c r="U91" s="161">
        <f t="shared" si="28"/>
        <v>0</v>
      </c>
      <c r="V91" s="161">
        <f t="shared" si="29"/>
        <v>0</v>
      </c>
      <c r="W91" s="161">
        <f t="shared" si="30"/>
        <v>0</v>
      </c>
      <c r="X91" s="161">
        <f t="shared" si="31"/>
        <v>0</v>
      </c>
      <c r="Y91" s="161">
        <f t="shared" si="32"/>
        <v>0</v>
      </c>
      <c r="Z91" s="161">
        <f t="shared" si="33"/>
        <v>0</v>
      </c>
      <c r="AB91" s="168">
        <v>68</v>
      </c>
      <c r="AC91" s="213">
        <f t="shared" ca="1" si="55"/>
        <v>47218</v>
      </c>
      <c r="AD91" s="214">
        <f t="shared" si="50"/>
        <v>0</v>
      </c>
      <c r="AE91" s="168"/>
      <c r="AF91" s="168">
        <v>68</v>
      </c>
      <c r="AG91" s="213">
        <f t="shared" ca="1" si="56"/>
        <v>47218</v>
      </c>
      <c r="AH91" s="208">
        <f t="shared" si="57"/>
        <v>532.75</v>
      </c>
      <c r="AI91" s="215">
        <f t="shared" ca="1" si="51"/>
        <v>146.32411625453426</v>
      </c>
      <c r="AJ91" s="168">
        <v>68</v>
      </c>
      <c r="AK91" s="213">
        <f t="shared" ca="1" si="58"/>
        <v>47218</v>
      </c>
      <c r="AL91" s="208">
        <f t="shared" si="59"/>
        <v>532.75</v>
      </c>
      <c r="AN91" s="168">
        <v>68</v>
      </c>
      <c r="AO91" s="189">
        <f t="shared" ca="1" si="52"/>
        <v>47218</v>
      </c>
      <c r="BC91" s="186" t="str">
        <f t="shared" si="53"/>
        <v>1INSS</v>
      </c>
      <c r="BD91" s="186">
        <f t="shared" si="54"/>
        <v>1</v>
      </c>
      <c r="BE91" s="209" t="str">
        <f>'SIMULADOR COM SALDO'!BF90</f>
        <v>INSS</v>
      </c>
      <c r="BF91" s="209" t="str">
        <f>'SIMULADOR COM SALDO'!BG90</f>
        <v>815061 - Tabela 1</v>
      </c>
      <c r="BG91" s="209">
        <f>'SIMULADOR COM SALDO'!BH90</f>
        <v>1.9E-2</v>
      </c>
      <c r="BH91" s="209">
        <f>'SIMULADOR COM SALDO'!BI90</f>
        <v>84</v>
      </c>
      <c r="BI91" s="209" t="str">
        <f>'SIMULADOR COM SALDO'!BJ90</f>
        <v/>
      </c>
      <c r="BJ91" s="209">
        <f>'SIMULADOR COM SALDO'!BK90</f>
        <v>1.91</v>
      </c>
      <c r="BK91" s="209">
        <f>'SIMULADOR COM SALDO'!BL90</f>
        <v>10</v>
      </c>
      <c r="BL91" s="209">
        <f>'SIMULADOR COM SALDO'!BM90</f>
        <v>53</v>
      </c>
      <c r="BM91" s="209" t="str">
        <f>'SIMULADOR COM SALDO'!BN90</f>
        <v>RFN - INSS 1 PORTAB DIG AOL</v>
      </c>
      <c r="BN91" s="209" t="str">
        <f>'SIMULADOR COM SALDO'!BO90</f>
        <v>1,15</v>
      </c>
      <c r="BO91" s="209">
        <f>'SIMULADOR COM SALDO'!BP90</f>
        <v>1.15E-2</v>
      </c>
      <c r="BP91" s="209">
        <f>'SIMULADOR COM SALDO'!BQ90</f>
        <v>2.5002278314111091E-2</v>
      </c>
      <c r="BQ91" s="209">
        <f>'SIMULADOR COM SALDO'!BR90</f>
        <v>1.9099999999999999E-2</v>
      </c>
      <c r="BR91" s="209">
        <f>'SIMULADOR COM SALDO'!BS90</f>
        <v>2.9999999999999997E-4</v>
      </c>
    </row>
    <row r="92" spans="2:70" hidden="1" x14ac:dyDescent="0.25">
      <c r="B92">
        <v>55</v>
      </c>
      <c r="C92" s="13">
        <f t="shared" ca="1" si="46"/>
        <v>46822</v>
      </c>
      <c r="D92" s="14">
        <f t="shared" ca="1" si="37"/>
        <v>99.287931169133657</v>
      </c>
      <c r="E92" s="14">
        <f t="shared" ca="1" si="49"/>
        <v>89.62273432966046</v>
      </c>
      <c r="F92" s="14">
        <f t="shared" si="49"/>
        <v>0</v>
      </c>
      <c r="G92" s="14">
        <f t="shared" si="49"/>
        <v>0</v>
      </c>
      <c r="H92" s="14">
        <f t="shared" si="49"/>
        <v>0</v>
      </c>
      <c r="I92" s="14">
        <f t="shared" si="49"/>
        <v>0</v>
      </c>
      <c r="J92" s="14">
        <f t="shared" si="49"/>
        <v>0</v>
      </c>
      <c r="K92" s="14">
        <f t="shared" si="49"/>
        <v>0</v>
      </c>
      <c r="L92" s="14">
        <f t="shared" si="49"/>
        <v>0</v>
      </c>
      <c r="M92" s="224">
        <f t="shared" si="49"/>
        <v>0</v>
      </c>
      <c r="N92" s="216"/>
      <c r="O92" s="216"/>
      <c r="P92" s="161">
        <v>77</v>
      </c>
      <c r="Q92" s="161">
        <f t="shared" si="48"/>
        <v>0</v>
      </c>
      <c r="R92" s="161">
        <f t="shared" si="25"/>
        <v>0</v>
      </c>
      <c r="S92" s="161">
        <f t="shared" si="26"/>
        <v>0</v>
      </c>
      <c r="T92" s="161">
        <f t="shared" si="27"/>
        <v>0</v>
      </c>
      <c r="U92" s="161">
        <f t="shared" si="28"/>
        <v>0</v>
      </c>
      <c r="V92" s="161">
        <f t="shared" si="29"/>
        <v>0</v>
      </c>
      <c r="W92" s="161">
        <f t="shared" si="30"/>
        <v>0</v>
      </c>
      <c r="X92" s="161">
        <f t="shared" si="31"/>
        <v>0</v>
      </c>
      <c r="Y92" s="161">
        <f t="shared" si="32"/>
        <v>0</v>
      </c>
      <c r="Z92" s="161">
        <f t="shared" si="33"/>
        <v>0</v>
      </c>
      <c r="AB92" s="168">
        <v>69</v>
      </c>
      <c r="AC92" s="213">
        <f t="shared" ca="1" si="55"/>
        <v>47248</v>
      </c>
      <c r="AD92" s="214">
        <f t="shared" si="50"/>
        <v>0</v>
      </c>
      <c r="AE92" s="168"/>
      <c r="AF92" s="168">
        <v>69</v>
      </c>
      <c r="AG92" s="213">
        <f t="shared" ca="1" si="56"/>
        <v>47248</v>
      </c>
      <c r="AH92" s="208">
        <f t="shared" si="57"/>
        <v>532.75</v>
      </c>
      <c r="AI92" s="215">
        <f t="shared" ca="1" si="51"/>
        <v>143.58170567612038</v>
      </c>
      <c r="AJ92" s="168">
        <v>69</v>
      </c>
      <c r="AK92" s="213">
        <f t="shared" ca="1" si="58"/>
        <v>47248</v>
      </c>
      <c r="AL92" s="208">
        <f t="shared" si="59"/>
        <v>532.75</v>
      </c>
      <c r="AN92" s="168">
        <v>69</v>
      </c>
      <c r="AO92" s="189">
        <f t="shared" ca="1" si="52"/>
        <v>47248</v>
      </c>
      <c r="BC92" s="186" t="str">
        <f t="shared" si="53"/>
        <v>2INSS</v>
      </c>
      <c r="BD92" s="186">
        <f t="shared" si="54"/>
        <v>2</v>
      </c>
      <c r="BE92" s="209" t="str">
        <f>'SIMULADOR COM SALDO'!BF91</f>
        <v>INSS</v>
      </c>
      <c r="BF92" s="209" t="str">
        <f>'SIMULADOR COM SALDO'!BG91</f>
        <v>815082 - Tabela 2</v>
      </c>
      <c r="BG92" s="209">
        <f>'SIMULADOR COM SALDO'!BH91</f>
        <v>1.8500000000000003E-2</v>
      </c>
      <c r="BH92" s="209">
        <f>'SIMULADOR COM SALDO'!BI91</f>
        <v>84</v>
      </c>
      <c r="BI92" s="209" t="str">
        <f>'SIMULADOR COM SALDO'!BJ91</f>
        <v/>
      </c>
      <c r="BJ92" s="209">
        <f>'SIMULADOR COM SALDO'!BK91</f>
        <v>1.91</v>
      </c>
      <c r="BK92" s="209">
        <f>'SIMULADOR COM SALDO'!BL91</f>
        <v>10</v>
      </c>
      <c r="BL92" s="209">
        <f>'SIMULADOR COM SALDO'!BM91</f>
        <v>53</v>
      </c>
      <c r="BM92" s="209" t="str">
        <f>'SIMULADOR COM SALDO'!BN91</f>
        <v>RFN - INSS 2 PORTAB DIG AOL</v>
      </c>
      <c r="BN92" s="209" t="str">
        <f>'SIMULADOR COM SALDO'!BO91</f>
        <v>1,15</v>
      </c>
      <c r="BO92" s="209">
        <f>'SIMULADOR COM SALDO'!BP91</f>
        <v>1.15E-2</v>
      </c>
      <c r="BP92" s="209">
        <f>'SIMULADOR COM SALDO'!BQ91</f>
        <v>2.4603439576403801E-2</v>
      </c>
      <c r="BQ92" s="209">
        <f>'SIMULADOR COM SALDO'!BR91</f>
        <v>1.9099999999999999E-2</v>
      </c>
      <c r="BR92" s="209">
        <f>'SIMULADOR COM SALDO'!BS91</f>
        <v>2.9999999999999997E-4</v>
      </c>
    </row>
    <row r="93" spans="2:70" hidden="1" x14ac:dyDescent="0.25">
      <c r="B93">
        <v>56</v>
      </c>
      <c r="C93" s="13">
        <f t="shared" ca="1" si="46"/>
        <v>46853</v>
      </c>
      <c r="D93" s="14">
        <f t="shared" ca="1" si="37"/>
        <v>97.396758104292459</v>
      </c>
      <c r="E93" s="14">
        <f t="shared" ca="1" si="49"/>
        <v>87.915657757856906</v>
      </c>
      <c r="F93" s="14">
        <f t="shared" si="49"/>
        <v>0</v>
      </c>
      <c r="G93" s="14">
        <f t="shared" si="49"/>
        <v>0</v>
      </c>
      <c r="H93" s="14">
        <f t="shared" si="49"/>
        <v>0</v>
      </c>
      <c r="I93" s="14">
        <f t="shared" si="49"/>
        <v>0</v>
      </c>
      <c r="J93" s="14">
        <f t="shared" si="49"/>
        <v>0</v>
      </c>
      <c r="K93" s="14">
        <f t="shared" si="49"/>
        <v>0</v>
      </c>
      <c r="L93" s="14">
        <f t="shared" si="49"/>
        <v>0</v>
      </c>
      <c r="M93" s="224">
        <f t="shared" si="49"/>
        <v>0</v>
      </c>
      <c r="N93" s="216"/>
      <c r="O93" s="216"/>
      <c r="P93" s="161">
        <v>78</v>
      </c>
      <c r="Q93" s="161">
        <f t="shared" si="48"/>
        <v>0</v>
      </c>
      <c r="R93" s="161">
        <f t="shared" si="25"/>
        <v>0</v>
      </c>
      <c r="S93" s="161">
        <f t="shared" si="26"/>
        <v>0</v>
      </c>
      <c r="T93" s="161">
        <f t="shared" si="27"/>
        <v>0</v>
      </c>
      <c r="U93" s="161">
        <f t="shared" si="28"/>
        <v>0</v>
      </c>
      <c r="V93" s="161">
        <f t="shared" si="29"/>
        <v>0</v>
      </c>
      <c r="W93" s="161">
        <f t="shared" si="30"/>
        <v>0</v>
      </c>
      <c r="X93" s="161">
        <f t="shared" si="31"/>
        <v>0</v>
      </c>
      <c r="Y93" s="161">
        <f t="shared" si="32"/>
        <v>0</v>
      </c>
      <c r="Z93" s="161">
        <f t="shared" si="33"/>
        <v>0</v>
      </c>
      <c r="AB93" s="168">
        <v>70</v>
      </c>
      <c r="AC93" s="213">
        <f t="shared" ca="1" si="55"/>
        <v>47279</v>
      </c>
      <c r="AD93" s="214">
        <f t="shared" si="50"/>
        <v>0</v>
      </c>
      <c r="AE93" s="168"/>
      <c r="AF93" s="168">
        <v>70</v>
      </c>
      <c r="AG93" s="213">
        <f t="shared" ca="1" si="56"/>
        <v>47279</v>
      </c>
      <c r="AH93" s="208">
        <f t="shared" si="57"/>
        <v>532.75</v>
      </c>
      <c r="AI93" s="215">
        <f t="shared" ca="1" si="51"/>
        <v>140.80186692109336</v>
      </c>
      <c r="AJ93" s="168">
        <v>70</v>
      </c>
      <c r="AK93" s="213">
        <f t="shared" ca="1" si="58"/>
        <v>47279</v>
      </c>
      <c r="AL93" s="208">
        <f t="shared" si="59"/>
        <v>532.75</v>
      </c>
      <c r="AN93" s="168">
        <v>70</v>
      </c>
      <c r="AO93" s="189">
        <f t="shared" ca="1" si="52"/>
        <v>47279</v>
      </c>
      <c r="BC93" s="186" t="str">
        <f t="shared" si="53"/>
        <v>3INSS</v>
      </c>
      <c r="BD93" s="186">
        <f t="shared" si="54"/>
        <v>3</v>
      </c>
      <c r="BE93" s="209" t="str">
        <f>'SIMULADOR COM SALDO'!BF92</f>
        <v>INSS</v>
      </c>
      <c r="BF93" s="209" t="str">
        <f>'SIMULADOR COM SALDO'!BG92</f>
        <v>815083 - Tabela 3</v>
      </c>
      <c r="BG93" s="209">
        <f>'SIMULADOR COM SALDO'!BH92</f>
        <v>1.8000000000000002E-2</v>
      </c>
      <c r="BH93" s="209">
        <f>'SIMULADOR COM SALDO'!BI92</f>
        <v>84</v>
      </c>
      <c r="BI93" s="209" t="str">
        <f>'SIMULADOR COM SALDO'!BJ92</f>
        <v/>
      </c>
      <c r="BJ93" s="209">
        <f>'SIMULADOR COM SALDO'!BK92</f>
        <v>1.91</v>
      </c>
      <c r="BK93" s="209">
        <f>'SIMULADOR COM SALDO'!BL92</f>
        <v>10</v>
      </c>
      <c r="BL93" s="209">
        <f>'SIMULADOR COM SALDO'!BM92</f>
        <v>53</v>
      </c>
      <c r="BM93" s="209" t="str">
        <f>'SIMULADOR COM SALDO'!BN92</f>
        <v>RFN - INSS 3 PORTAB DIG AOL</v>
      </c>
      <c r="BN93" s="209" t="str">
        <f>'SIMULADOR COM SALDO'!BO92</f>
        <v>1,15</v>
      </c>
      <c r="BO93" s="209">
        <f>'SIMULADOR COM SALDO'!BP92</f>
        <v>1.15E-2</v>
      </c>
      <c r="BP93" s="209">
        <f>'SIMULADOR COM SALDO'!BQ92</f>
        <v>2.4207712468790974E-2</v>
      </c>
      <c r="BQ93" s="209">
        <f>'SIMULADOR COM SALDO'!BR92</f>
        <v>1.9099999999999999E-2</v>
      </c>
      <c r="BR93" s="209">
        <f>'SIMULADOR COM SALDO'!BS92</f>
        <v>2.9999999999999997E-4</v>
      </c>
    </row>
    <row r="94" spans="2:70" hidden="1" x14ac:dyDescent="0.25">
      <c r="B94">
        <v>57</v>
      </c>
      <c r="C94" s="13">
        <f t="shared" ca="1" si="46"/>
        <v>46883</v>
      </c>
      <c r="D94" s="14">
        <f t="shared" ca="1" si="37"/>
        <v>95.600895286338584</v>
      </c>
      <c r="E94" s="14">
        <f t="shared" ca="1" si="49"/>
        <v>86.294613444305611</v>
      </c>
      <c r="F94" s="14">
        <f t="shared" si="49"/>
        <v>0</v>
      </c>
      <c r="G94" s="14">
        <f t="shared" si="49"/>
        <v>0</v>
      </c>
      <c r="H94" s="14">
        <f t="shared" si="49"/>
        <v>0</v>
      </c>
      <c r="I94" s="14">
        <f t="shared" si="49"/>
        <v>0</v>
      </c>
      <c r="J94" s="14">
        <f t="shared" si="49"/>
        <v>0</v>
      </c>
      <c r="K94" s="14">
        <f t="shared" si="49"/>
        <v>0</v>
      </c>
      <c r="L94" s="14">
        <f t="shared" si="49"/>
        <v>0</v>
      </c>
      <c r="M94" s="224">
        <f t="shared" si="49"/>
        <v>0</v>
      </c>
      <c r="N94" s="216"/>
      <c r="O94" s="216"/>
      <c r="P94" s="161">
        <v>79</v>
      </c>
      <c r="Q94" s="161">
        <f t="shared" si="48"/>
        <v>0</v>
      </c>
      <c r="R94" s="161">
        <f t="shared" si="25"/>
        <v>0</v>
      </c>
      <c r="S94" s="161">
        <f t="shared" si="26"/>
        <v>0</v>
      </c>
      <c r="T94" s="161">
        <f t="shared" si="27"/>
        <v>0</v>
      </c>
      <c r="U94" s="161">
        <f t="shared" si="28"/>
        <v>0</v>
      </c>
      <c r="V94" s="161">
        <f t="shared" si="29"/>
        <v>0</v>
      </c>
      <c r="W94" s="161">
        <f t="shared" si="30"/>
        <v>0</v>
      </c>
      <c r="X94" s="161">
        <f t="shared" si="31"/>
        <v>0</v>
      </c>
      <c r="Y94" s="161">
        <f t="shared" si="32"/>
        <v>0</v>
      </c>
      <c r="Z94" s="161">
        <f t="shared" si="33"/>
        <v>0</v>
      </c>
      <c r="AB94" s="168">
        <v>71</v>
      </c>
      <c r="AC94" s="213">
        <f t="shared" ca="1" si="55"/>
        <v>47309</v>
      </c>
      <c r="AD94" s="214">
        <f t="shared" si="50"/>
        <v>0</v>
      </c>
      <c r="AE94" s="168"/>
      <c r="AF94" s="168">
        <v>71</v>
      </c>
      <c r="AG94" s="213">
        <f t="shared" ca="1" si="56"/>
        <v>47309</v>
      </c>
      <c r="AH94" s="208">
        <f t="shared" si="57"/>
        <v>532.75</v>
      </c>
      <c r="AI94" s="215">
        <f t="shared" ca="1" si="51"/>
        <v>138.16295449032813</v>
      </c>
      <c r="AJ94" s="168">
        <v>71</v>
      </c>
      <c r="AK94" s="213">
        <f t="shared" ca="1" si="58"/>
        <v>47309</v>
      </c>
      <c r="AL94" s="208">
        <f t="shared" si="59"/>
        <v>532.75</v>
      </c>
      <c r="AN94" s="168">
        <v>71</v>
      </c>
      <c r="AO94" s="189">
        <f t="shared" ca="1" si="52"/>
        <v>47309</v>
      </c>
      <c r="BC94" s="186" t="str">
        <f t="shared" si="53"/>
        <v>4INSS</v>
      </c>
      <c r="BD94" s="186">
        <f t="shared" si="54"/>
        <v>4</v>
      </c>
      <c r="BE94" s="209" t="str">
        <f>'SIMULADOR COM SALDO'!BF93</f>
        <v>INSS</v>
      </c>
      <c r="BF94" s="209" t="str">
        <f>'SIMULADOR COM SALDO'!BG93</f>
        <v>815084 - Tabela 4</v>
      </c>
      <c r="BG94" s="209">
        <f>'SIMULADOR COM SALDO'!BH93</f>
        <v>1.7500000000000002E-2</v>
      </c>
      <c r="BH94" s="209">
        <f>'SIMULADOR COM SALDO'!BI93</f>
        <v>84</v>
      </c>
      <c r="BI94" s="209" t="str">
        <f>'SIMULADOR COM SALDO'!BJ93</f>
        <v/>
      </c>
      <c r="BJ94" s="209">
        <f>'SIMULADOR COM SALDO'!BK93</f>
        <v>1.91</v>
      </c>
      <c r="BK94" s="209">
        <f>'SIMULADOR COM SALDO'!BL93</f>
        <v>10</v>
      </c>
      <c r="BL94" s="209">
        <f>'SIMULADOR COM SALDO'!BM93</f>
        <v>53</v>
      </c>
      <c r="BM94" s="209" t="str">
        <f>'SIMULADOR COM SALDO'!BN93</f>
        <v>RFN - INSS 4 PORTAB DIG AOL</v>
      </c>
      <c r="BN94" s="209" t="str">
        <f>'SIMULADOR COM SALDO'!BO93</f>
        <v>1,15</v>
      </c>
      <c r="BO94" s="209">
        <f>'SIMULADOR COM SALDO'!BP93</f>
        <v>1.15E-2</v>
      </c>
      <c r="BP94" s="209">
        <f>'SIMULADOR COM SALDO'!BQ93</f>
        <v>2.3815130011921141E-2</v>
      </c>
      <c r="BQ94" s="209">
        <f>'SIMULADOR COM SALDO'!BR93</f>
        <v>1.9099999999999999E-2</v>
      </c>
      <c r="BR94" s="209">
        <f>'SIMULADOR COM SALDO'!BS93</f>
        <v>2.9999999999999997E-4</v>
      </c>
    </row>
    <row r="95" spans="2:70" hidden="1" x14ac:dyDescent="0.25">
      <c r="B95">
        <v>58</v>
      </c>
      <c r="C95" s="13">
        <f t="shared" ca="1" si="46"/>
        <v>46914</v>
      </c>
      <c r="D95" s="14">
        <f t="shared" ca="1" si="37"/>
        <v>93.779950524862542</v>
      </c>
      <c r="E95" s="14">
        <f t="shared" ca="1" si="49"/>
        <v>84.650928792353795</v>
      </c>
      <c r="F95" s="14">
        <f t="shared" si="49"/>
        <v>0</v>
      </c>
      <c r="G95" s="14">
        <f t="shared" si="49"/>
        <v>0</v>
      </c>
      <c r="H95" s="14">
        <f t="shared" si="49"/>
        <v>0</v>
      </c>
      <c r="I95" s="14">
        <f t="shared" si="49"/>
        <v>0</v>
      </c>
      <c r="J95" s="14">
        <f t="shared" si="49"/>
        <v>0</v>
      </c>
      <c r="K95" s="14">
        <f t="shared" si="49"/>
        <v>0</v>
      </c>
      <c r="L95" s="14">
        <f t="shared" si="49"/>
        <v>0</v>
      </c>
      <c r="M95" s="224">
        <f t="shared" si="49"/>
        <v>0</v>
      </c>
      <c r="N95" s="216"/>
      <c r="O95" s="216"/>
      <c r="P95" s="161">
        <v>80</v>
      </c>
      <c r="Q95" s="161">
        <f t="shared" si="48"/>
        <v>0</v>
      </c>
      <c r="R95" s="161">
        <f t="shared" si="25"/>
        <v>0</v>
      </c>
      <c r="S95" s="161">
        <f t="shared" si="26"/>
        <v>0</v>
      </c>
      <c r="T95" s="161">
        <f t="shared" si="27"/>
        <v>0</v>
      </c>
      <c r="U95" s="161">
        <f t="shared" si="28"/>
        <v>0</v>
      </c>
      <c r="V95" s="161">
        <f t="shared" si="29"/>
        <v>0</v>
      </c>
      <c r="W95" s="161">
        <f t="shared" si="30"/>
        <v>0</v>
      </c>
      <c r="X95" s="161">
        <f t="shared" si="31"/>
        <v>0</v>
      </c>
      <c r="Y95" s="161">
        <f t="shared" si="32"/>
        <v>0</v>
      </c>
      <c r="Z95" s="161">
        <f t="shared" si="33"/>
        <v>0</v>
      </c>
      <c r="AB95" s="168">
        <v>72</v>
      </c>
      <c r="AC95" s="213">
        <f t="shared" ca="1" si="55"/>
        <v>47340</v>
      </c>
      <c r="AD95" s="214">
        <f t="shared" si="50"/>
        <v>0</v>
      </c>
      <c r="AE95" s="168"/>
      <c r="AF95" s="168">
        <v>72</v>
      </c>
      <c r="AG95" s="213">
        <f t="shared" ca="1" si="56"/>
        <v>47340</v>
      </c>
      <c r="AH95" s="208">
        <f t="shared" si="57"/>
        <v>532.75</v>
      </c>
      <c r="AI95" s="215">
        <f t="shared" ca="1" si="51"/>
        <v>135.48802641649954</v>
      </c>
      <c r="AJ95" s="168">
        <v>72</v>
      </c>
      <c r="AK95" s="213">
        <f t="shared" ca="1" si="58"/>
        <v>47340</v>
      </c>
      <c r="AL95" s="208">
        <f t="shared" si="59"/>
        <v>532.75</v>
      </c>
      <c r="AN95" s="168">
        <v>72</v>
      </c>
      <c r="AO95" s="189">
        <f t="shared" ca="1" si="52"/>
        <v>47340</v>
      </c>
      <c r="BC95" s="186" t="str">
        <f t="shared" si="53"/>
        <v>5INSS</v>
      </c>
      <c r="BD95" s="186">
        <f t="shared" si="54"/>
        <v>5</v>
      </c>
      <c r="BE95" s="209" t="str">
        <f>'SIMULADOR COM SALDO'!BF94</f>
        <v>INSS</v>
      </c>
      <c r="BF95" s="209" t="str">
        <f>'SIMULADOR COM SALDO'!BG94</f>
        <v>815085 - Tabela 5</v>
      </c>
      <c r="BG95" s="209">
        <f>'SIMULADOR COM SALDO'!BH94</f>
        <v>1.7000000000000001E-2</v>
      </c>
      <c r="BH95" s="209">
        <f>'SIMULADOR COM SALDO'!BI94</f>
        <v>84</v>
      </c>
      <c r="BI95" s="209" t="str">
        <f>'SIMULADOR COM SALDO'!BJ94</f>
        <v/>
      </c>
      <c r="BJ95" s="209">
        <f>'SIMULADOR COM SALDO'!BK94</f>
        <v>1.91</v>
      </c>
      <c r="BK95" s="209">
        <f>'SIMULADOR COM SALDO'!BL94</f>
        <v>10</v>
      </c>
      <c r="BL95" s="209">
        <f>'SIMULADOR COM SALDO'!BM94</f>
        <v>53</v>
      </c>
      <c r="BM95" s="209" t="str">
        <f>'SIMULADOR COM SALDO'!BN94</f>
        <v>RFN - INSS 5 PORTAB DIG AOL</v>
      </c>
      <c r="BN95" s="209" t="str">
        <f>'SIMULADOR COM SALDO'!BO94</f>
        <v>1,15</v>
      </c>
      <c r="BO95" s="209">
        <f>'SIMULADOR COM SALDO'!BP94</f>
        <v>1.15E-2</v>
      </c>
      <c r="BP95" s="209">
        <f>'SIMULADOR COM SALDO'!BQ94</f>
        <v>2.3425724784414358E-2</v>
      </c>
      <c r="BQ95" s="209">
        <f>'SIMULADOR COM SALDO'!BR94</f>
        <v>1.9099999999999999E-2</v>
      </c>
      <c r="BR95" s="209">
        <f>'SIMULADOR COM SALDO'!BS94</f>
        <v>2.9999999999999997E-4</v>
      </c>
    </row>
    <row r="96" spans="2:70" hidden="1" x14ac:dyDescent="0.25">
      <c r="B96">
        <v>59</v>
      </c>
      <c r="C96" s="13">
        <f t="shared" ca="1" si="46"/>
        <v>46944</v>
      </c>
      <c r="D96" s="14">
        <f t="shared" ca="1" si="37"/>
        <v>92.050776684837871</v>
      </c>
      <c r="E96" s="14">
        <f t="shared" ca="1" si="49"/>
        <v>83.090081609322681</v>
      </c>
      <c r="F96" s="14">
        <f t="shared" si="49"/>
        <v>0</v>
      </c>
      <c r="G96" s="14">
        <f t="shared" si="49"/>
        <v>0</v>
      </c>
      <c r="H96" s="14">
        <f t="shared" si="49"/>
        <v>0</v>
      </c>
      <c r="I96" s="14">
        <f t="shared" si="49"/>
        <v>0</v>
      </c>
      <c r="J96" s="14">
        <f t="shared" si="49"/>
        <v>0</v>
      </c>
      <c r="K96" s="14">
        <f t="shared" si="49"/>
        <v>0</v>
      </c>
      <c r="L96" s="14">
        <f t="shared" si="49"/>
        <v>0</v>
      </c>
      <c r="M96" s="224">
        <f t="shared" si="49"/>
        <v>0</v>
      </c>
      <c r="N96" s="216"/>
      <c r="O96" s="216"/>
      <c r="P96" s="161">
        <v>81</v>
      </c>
      <c r="Q96" s="161">
        <f t="shared" si="48"/>
        <v>0</v>
      </c>
      <c r="R96" s="161">
        <f t="shared" ref="R96:R159" si="60">IF($P96&lt;=E$20,E$17,0)</f>
        <v>0</v>
      </c>
      <c r="S96" s="161">
        <f t="shared" ref="S96:S159" si="61">IF($P96&lt;=F$20,F$17,0)</f>
        <v>0</v>
      </c>
      <c r="T96" s="161">
        <f t="shared" ref="T96:T159" si="62">IF($P96&lt;=G$20,G$17,0)</f>
        <v>0</v>
      </c>
      <c r="U96" s="161">
        <f t="shared" ref="U96:U159" si="63">IF($P96&lt;=H$20,H$17,0)</f>
        <v>0</v>
      </c>
      <c r="V96" s="161">
        <f t="shared" ref="V96:V159" si="64">IF($P96&lt;=I$20,I$17,0)</f>
        <v>0</v>
      </c>
      <c r="W96" s="161">
        <f t="shared" ref="W96:W159" si="65">IF($P96&lt;=J$20,J$17,0)</f>
        <v>0</v>
      </c>
      <c r="X96" s="161">
        <f t="shared" ref="X96:X159" si="66">IF($P96&lt;=K$20,K$17,0)</f>
        <v>0</v>
      </c>
      <c r="Y96" s="161">
        <f t="shared" ref="Y96:Y159" si="67">IF($P96&lt;=L$20,L$17,0)</f>
        <v>0</v>
      </c>
      <c r="Z96" s="161">
        <f t="shared" ref="Z96:Z159" si="68">IF($P96&lt;=M$20,M$17,0)</f>
        <v>0</v>
      </c>
      <c r="AB96" s="168">
        <v>73</v>
      </c>
      <c r="AC96" s="213">
        <f t="shared" ca="1" si="55"/>
        <v>47371</v>
      </c>
      <c r="AD96" s="214">
        <f t="shared" si="50"/>
        <v>0</v>
      </c>
      <c r="AE96" s="168"/>
      <c r="AF96" s="168">
        <v>73</v>
      </c>
      <c r="AG96" s="213">
        <f t="shared" ca="1" si="56"/>
        <v>47371</v>
      </c>
      <c r="AH96" s="208">
        <f t="shared" si="57"/>
        <v>532.75</v>
      </c>
      <c r="AI96" s="215">
        <f t="shared" ca="1" si="51"/>
        <v>132.86488675604519</v>
      </c>
      <c r="AJ96" s="168">
        <v>73</v>
      </c>
      <c r="AK96" s="213">
        <f t="shared" ca="1" si="58"/>
        <v>47371</v>
      </c>
      <c r="AL96" s="208">
        <f t="shared" si="59"/>
        <v>532.75</v>
      </c>
      <c r="AN96" s="168">
        <v>73</v>
      </c>
      <c r="AO96" s="189">
        <f t="shared" ca="1" si="52"/>
        <v>47371</v>
      </c>
      <c r="BC96" s="186" t="str">
        <f t="shared" si="53"/>
        <v>6INSS</v>
      </c>
      <c r="BD96" s="186">
        <f t="shared" si="54"/>
        <v>6</v>
      </c>
      <c r="BE96" s="209" t="str">
        <f>'SIMULADOR COM SALDO'!BF95</f>
        <v>INSS</v>
      </c>
      <c r="BF96" s="209" t="str">
        <f>'SIMULADOR COM SALDO'!BG95</f>
        <v>815086 - Tabela 6</v>
      </c>
      <c r="BG96" s="209">
        <f>'SIMULADOR COM SALDO'!BH95</f>
        <v>1.6500000000000001E-2</v>
      </c>
      <c r="BH96" s="209">
        <f>'SIMULADOR COM SALDO'!BI95</f>
        <v>84</v>
      </c>
      <c r="BI96" s="209" t="str">
        <f>'SIMULADOR COM SALDO'!BJ95</f>
        <v/>
      </c>
      <c r="BJ96" s="209">
        <f>'SIMULADOR COM SALDO'!BK95</f>
        <v>1.91</v>
      </c>
      <c r="BK96" s="209">
        <f>'SIMULADOR COM SALDO'!BL95</f>
        <v>10</v>
      </c>
      <c r="BL96" s="209">
        <f>'SIMULADOR COM SALDO'!BM95</f>
        <v>53</v>
      </c>
      <c r="BM96" s="209" t="str">
        <f>'SIMULADOR COM SALDO'!BN95</f>
        <v>RFN - INSS 6 PORTAB DIG AOL</v>
      </c>
      <c r="BN96" s="209" t="str">
        <f>'SIMULADOR COM SALDO'!BO95</f>
        <v>1,15</v>
      </c>
      <c r="BO96" s="209">
        <f>'SIMULADOR COM SALDO'!BP95</f>
        <v>1.15E-2</v>
      </c>
      <c r="BP96" s="209">
        <f>'SIMULADOR COM SALDO'!BQ95</f>
        <v>2.3039528890469323E-2</v>
      </c>
      <c r="BQ96" s="209">
        <f>'SIMULADOR COM SALDO'!BR95</f>
        <v>1.9099999999999999E-2</v>
      </c>
      <c r="BR96" s="209">
        <f>'SIMULADOR COM SALDO'!BS95</f>
        <v>2.9999999999999997E-4</v>
      </c>
    </row>
    <row r="97" spans="2:70" hidden="1" x14ac:dyDescent="0.25">
      <c r="B97">
        <v>60</v>
      </c>
      <c r="C97" s="13">
        <f t="shared" ca="1" si="46"/>
        <v>46975</v>
      </c>
      <c r="D97" s="14">
        <f t="shared" ca="1" si="37"/>
        <v>90.297452313847259</v>
      </c>
      <c r="E97" s="14">
        <f t="shared" ca="1" si="49"/>
        <v>81.507434831968325</v>
      </c>
      <c r="F97" s="14">
        <f t="shared" si="49"/>
        <v>0</v>
      </c>
      <c r="G97" s="14">
        <f t="shared" si="49"/>
        <v>0</v>
      </c>
      <c r="H97" s="14">
        <f t="shared" si="49"/>
        <v>0</v>
      </c>
      <c r="I97" s="14">
        <f t="shared" si="49"/>
        <v>0</v>
      </c>
      <c r="J97" s="14">
        <f t="shared" si="49"/>
        <v>0</v>
      </c>
      <c r="K97" s="14">
        <f t="shared" si="49"/>
        <v>0</v>
      </c>
      <c r="L97" s="14">
        <f t="shared" si="49"/>
        <v>0</v>
      </c>
      <c r="M97" s="224">
        <f t="shared" si="49"/>
        <v>0</v>
      </c>
      <c r="N97" s="216"/>
      <c r="O97" s="216"/>
      <c r="P97" s="161">
        <v>82</v>
      </c>
      <c r="Q97" s="161">
        <f t="shared" si="48"/>
        <v>0</v>
      </c>
      <c r="R97" s="161">
        <f t="shared" si="60"/>
        <v>0</v>
      </c>
      <c r="S97" s="161">
        <f t="shared" si="61"/>
        <v>0</v>
      </c>
      <c r="T97" s="161">
        <f t="shared" si="62"/>
        <v>0</v>
      </c>
      <c r="U97" s="161">
        <f t="shared" si="63"/>
        <v>0</v>
      </c>
      <c r="V97" s="161">
        <f t="shared" si="64"/>
        <v>0</v>
      </c>
      <c r="W97" s="161">
        <f t="shared" si="65"/>
        <v>0</v>
      </c>
      <c r="X97" s="161">
        <f t="shared" si="66"/>
        <v>0</v>
      </c>
      <c r="Y97" s="161">
        <f t="shared" si="67"/>
        <v>0</v>
      </c>
      <c r="Z97" s="161">
        <f t="shared" si="68"/>
        <v>0</v>
      </c>
      <c r="AB97" s="168">
        <v>74</v>
      </c>
      <c r="AC97" s="213">
        <f t="shared" ca="1" si="55"/>
        <v>47401</v>
      </c>
      <c r="AD97" s="214">
        <f t="shared" si="50"/>
        <v>0</v>
      </c>
      <c r="AE97" s="168"/>
      <c r="AF97" s="168">
        <v>74</v>
      </c>
      <c r="AG97" s="213">
        <f t="shared" ca="1" si="56"/>
        <v>47401</v>
      </c>
      <c r="AH97" s="208">
        <f t="shared" si="57"/>
        <v>532.75</v>
      </c>
      <c r="AI97" s="215">
        <f t="shared" ca="1" si="51"/>
        <v>130.37472942404594</v>
      </c>
      <c r="AJ97" s="168">
        <v>74</v>
      </c>
      <c r="AK97" s="213">
        <f t="shared" ca="1" si="58"/>
        <v>47401</v>
      </c>
      <c r="AL97" s="208">
        <f t="shared" si="59"/>
        <v>532.75</v>
      </c>
      <c r="AN97" s="168">
        <v>74</v>
      </c>
      <c r="AO97" s="189">
        <f t="shared" ca="1" si="52"/>
        <v>47401</v>
      </c>
      <c r="BC97" s="186" t="str">
        <f t="shared" si="53"/>
        <v>1IPSEMG MG</v>
      </c>
      <c r="BD97" s="186">
        <f t="shared" si="54"/>
        <v>1</v>
      </c>
      <c r="BE97" s="209" t="str">
        <f>'SIMULADOR COM SALDO'!BF96</f>
        <v>IPSEMG MG</v>
      </c>
      <c r="BF97" s="209" t="str">
        <f>'SIMULADOR COM SALDO'!BG96</f>
        <v>765631 - Tabela 1</v>
      </c>
      <c r="BG97" s="209">
        <f>'SIMULADOR COM SALDO'!BH96</f>
        <v>2.1499999999999998E-2</v>
      </c>
      <c r="BH97" s="209">
        <f>'SIMULADOR COM SALDO'!BI96</f>
        <v>120</v>
      </c>
      <c r="BI97" s="209" t="str">
        <f>'SIMULADOR COM SALDO'!BJ96</f>
        <v/>
      </c>
      <c r="BJ97" s="209">
        <f>'SIMULADOR COM SALDO'!BK96</f>
        <v>2.4</v>
      </c>
      <c r="BK97" s="209">
        <f>'SIMULADOR COM SALDO'!BL96</f>
        <v>12</v>
      </c>
      <c r="BL97" s="209">
        <f>'SIMULADOR COM SALDO'!BM96</f>
        <v>43</v>
      </c>
      <c r="BM97" s="209" t="str">
        <f>'SIMULADOR COM SALDO'!BN96</f>
        <v>RFN - IPSEMG 1 DIG PORTABILIDADE</v>
      </c>
      <c r="BN97" s="209" t="str">
        <f>'SIMULADOR COM SALDO'!BO96</f>
        <v>1,64</v>
      </c>
      <c r="BO97" s="209">
        <f>'SIMULADOR COM SALDO'!BP96</f>
        <v>1.6399999999999998E-2</v>
      </c>
      <c r="BP97" s="209">
        <f>'SIMULADOR COM SALDO'!BQ96</f>
        <v>2.4241564142889527E-2</v>
      </c>
      <c r="BQ97" s="209">
        <f>'SIMULADOR COM SALDO'!BR96</f>
        <v>2.4E-2</v>
      </c>
      <c r="BR97" s="209">
        <f>'SIMULADOR COM SALDO'!BS96</f>
        <v>2.9999999999999997E-4</v>
      </c>
    </row>
    <row r="98" spans="2:70" hidden="1" x14ac:dyDescent="0.25">
      <c r="B98">
        <v>61</v>
      </c>
      <c r="C98" s="13">
        <f t="shared" ca="1" si="46"/>
        <v>47006</v>
      </c>
      <c r="D98" s="14">
        <f t="shared" si="37"/>
        <v>0</v>
      </c>
      <c r="E98" s="14">
        <f t="shared" si="49"/>
        <v>0</v>
      </c>
      <c r="F98" s="14">
        <f t="shared" si="49"/>
        <v>0</v>
      </c>
      <c r="G98" s="14">
        <f t="shared" si="49"/>
        <v>0</v>
      </c>
      <c r="H98" s="14">
        <f t="shared" si="49"/>
        <v>0</v>
      </c>
      <c r="I98" s="14">
        <f t="shared" si="49"/>
        <v>0</v>
      </c>
      <c r="J98" s="14">
        <f t="shared" si="49"/>
        <v>0</v>
      </c>
      <c r="K98" s="14">
        <f t="shared" si="49"/>
        <v>0</v>
      </c>
      <c r="L98" s="14">
        <f t="shared" si="49"/>
        <v>0</v>
      </c>
      <c r="M98" s="224">
        <f t="shared" si="49"/>
        <v>0</v>
      </c>
      <c r="N98" s="216"/>
      <c r="O98" s="216"/>
      <c r="P98" s="161">
        <v>83</v>
      </c>
      <c r="Q98" s="161">
        <f t="shared" si="48"/>
        <v>0</v>
      </c>
      <c r="R98" s="161">
        <f t="shared" si="60"/>
        <v>0</v>
      </c>
      <c r="S98" s="161">
        <f t="shared" si="61"/>
        <v>0</v>
      </c>
      <c r="T98" s="161">
        <f t="shared" si="62"/>
        <v>0</v>
      </c>
      <c r="U98" s="161">
        <f t="shared" si="63"/>
        <v>0</v>
      </c>
      <c r="V98" s="161">
        <f t="shared" si="64"/>
        <v>0</v>
      </c>
      <c r="W98" s="161">
        <f t="shared" si="65"/>
        <v>0</v>
      </c>
      <c r="X98" s="161">
        <f t="shared" si="66"/>
        <v>0</v>
      </c>
      <c r="Y98" s="161">
        <f t="shared" si="67"/>
        <v>0</v>
      </c>
      <c r="Z98" s="161">
        <f t="shared" si="68"/>
        <v>0</v>
      </c>
      <c r="AB98" s="168">
        <v>75</v>
      </c>
      <c r="AC98" s="213">
        <f t="shared" ca="1" si="55"/>
        <v>47432</v>
      </c>
      <c r="AD98" s="214">
        <f t="shared" si="50"/>
        <v>0</v>
      </c>
      <c r="AE98" s="168"/>
      <c r="AF98" s="168">
        <v>75</v>
      </c>
      <c r="AG98" s="213">
        <f t="shared" ca="1" si="56"/>
        <v>47432</v>
      </c>
      <c r="AH98" s="208">
        <f t="shared" si="57"/>
        <v>532.75</v>
      </c>
      <c r="AI98" s="215">
        <f t="shared" ca="1" si="51"/>
        <v>127.8505866453925</v>
      </c>
      <c r="AJ98" s="168">
        <v>75</v>
      </c>
      <c r="AK98" s="213">
        <f t="shared" ca="1" si="58"/>
        <v>47432</v>
      </c>
      <c r="AL98" s="208">
        <f t="shared" si="59"/>
        <v>532.75</v>
      </c>
      <c r="AN98" s="168">
        <v>75</v>
      </c>
      <c r="AO98" s="189">
        <f t="shared" ca="1" si="52"/>
        <v>47432</v>
      </c>
      <c r="BC98" s="186" t="str">
        <f t="shared" si="53"/>
        <v>2IPSEMG MG</v>
      </c>
      <c r="BD98" s="186">
        <f t="shared" si="54"/>
        <v>2</v>
      </c>
      <c r="BE98" s="209" t="str">
        <f>'SIMULADOR COM SALDO'!BF97</f>
        <v>IPSEMG MG</v>
      </c>
      <c r="BF98" s="209" t="str">
        <f>'SIMULADOR COM SALDO'!BG97</f>
        <v>765632 - Tabela 2</v>
      </c>
      <c r="BG98" s="209">
        <f>'SIMULADOR COM SALDO'!BH97</f>
        <v>2.0499999999999997E-2</v>
      </c>
      <c r="BH98" s="209">
        <f>'SIMULADOR COM SALDO'!BI97</f>
        <v>120</v>
      </c>
      <c r="BI98" s="209" t="str">
        <f>'SIMULADOR COM SALDO'!BJ97</f>
        <v/>
      </c>
      <c r="BJ98" s="209">
        <f>'SIMULADOR COM SALDO'!BK97</f>
        <v>2.4</v>
      </c>
      <c r="BK98" s="209">
        <f>'SIMULADOR COM SALDO'!BL97</f>
        <v>12</v>
      </c>
      <c r="BL98" s="209">
        <f>'SIMULADOR COM SALDO'!BM97</f>
        <v>47</v>
      </c>
      <c r="BM98" s="209" t="str">
        <f>'SIMULADOR COM SALDO'!BN97</f>
        <v>RFN - IPSEMG 2 DIG PORTABILIDADE</v>
      </c>
      <c r="BN98" s="209" t="str">
        <f>'SIMULADOR COM SALDO'!BO97</f>
        <v>1,64</v>
      </c>
      <c r="BO98" s="209">
        <f>'SIMULADOR COM SALDO'!BP97</f>
        <v>1.6399999999999998E-2</v>
      </c>
      <c r="BP98" s="209">
        <f>'SIMULADOR COM SALDO'!BQ97</f>
        <v>2.3413441940626188E-2</v>
      </c>
      <c r="BQ98" s="209">
        <f>'SIMULADOR COM SALDO'!BR97</f>
        <v>2.4E-2</v>
      </c>
      <c r="BR98" s="209">
        <f>'SIMULADOR COM SALDO'!BS97</f>
        <v>2.9999999999999997E-4</v>
      </c>
    </row>
    <row r="99" spans="2:70" hidden="1" x14ac:dyDescent="0.25">
      <c r="B99">
        <v>62</v>
      </c>
      <c r="C99" s="13">
        <f t="shared" ca="1" si="46"/>
        <v>47036</v>
      </c>
      <c r="D99" s="14">
        <f t="shared" si="37"/>
        <v>0</v>
      </c>
      <c r="E99" s="14">
        <f t="shared" si="49"/>
        <v>0</v>
      </c>
      <c r="F99" s="14">
        <f t="shared" si="49"/>
        <v>0</v>
      </c>
      <c r="G99" s="14">
        <f t="shared" si="49"/>
        <v>0</v>
      </c>
      <c r="H99" s="14">
        <f t="shared" si="49"/>
        <v>0</v>
      </c>
      <c r="I99" s="14">
        <f t="shared" si="49"/>
        <v>0</v>
      </c>
      <c r="J99" s="14">
        <f t="shared" si="49"/>
        <v>0</v>
      </c>
      <c r="K99" s="14">
        <f t="shared" si="49"/>
        <v>0</v>
      </c>
      <c r="L99" s="14">
        <f t="shared" si="49"/>
        <v>0</v>
      </c>
      <c r="M99" s="224">
        <f t="shared" si="49"/>
        <v>0</v>
      </c>
      <c r="N99" s="216"/>
      <c r="O99" s="216"/>
      <c r="P99" s="161">
        <v>84</v>
      </c>
      <c r="Q99" s="161">
        <f t="shared" si="48"/>
        <v>0</v>
      </c>
      <c r="R99" s="161">
        <f t="shared" si="60"/>
        <v>0</v>
      </c>
      <c r="S99" s="161">
        <f t="shared" si="61"/>
        <v>0</v>
      </c>
      <c r="T99" s="161">
        <f t="shared" si="62"/>
        <v>0</v>
      </c>
      <c r="U99" s="161">
        <f t="shared" si="63"/>
        <v>0</v>
      </c>
      <c r="V99" s="161">
        <f t="shared" si="64"/>
        <v>0</v>
      </c>
      <c r="W99" s="161">
        <f t="shared" si="65"/>
        <v>0</v>
      </c>
      <c r="X99" s="161">
        <f t="shared" si="66"/>
        <v>0</v>
      </c>
      <c r="Y99" s="161">
        <f t="shared" si="67"/>
        <v>0</v>
      </c>
      <c r="Z99" s="161">
        <f t="shared" si="68"/>
        <v>0</v>
      </c>
      <c r="AB99" s="168">
        <v>76</v>
      </c>
      <c r="AC99" s="213">
        <f t="shared" ca="1" si="55"/>
        <v>47462</v>
      </c>
      <c r="AD99" s="214">
        <f t="shared" si="50"/>
        <v>0</v>
      </c>
      <c r="AE99" s="168"/>
      <c r="AF99" s="168">
        <v>76</v>
      </c>
      <c r="AG99" s="213">
        <f t="shared" ca="1" si="56"/>
        <v>47462</v>
      </c>
      <c r="AH99" s="208">
        <f t="shared" si="57"/>
        <v>532.75</v>
      </c>
      <c r="AI99" s="215">
        <f t="shared" ca="1" si="51"/>
        <v>125.45440746285202</v>
      </c>
      <c r="AJ99" s="168">
        <v>76</v>
      </c>
      <c r="AK99" s="213">
        <f t="shared" ca="1" si="58"/>
        <v>47462</v>
      </c>
      <c r="AL99" s="208">
        <f t="shared" si="59"/>
        <v>532.75</v>
      </c>
      <c r="AN99" s="168">
        <v>76</v>
      </c>
      <c r="AO99" s="189">
        <f t="shared" ca="1" si="52"/>
        <v>47462</v>
      </c>
      <c r="BC99" s="186" t="str">
        <f t="shared" si="53"/>
        <v>3IPSEMG MG</v>
      </c>
      <c r="BD99" s="186">
        <f t="shared" si="54"/>
        <v>3</v>
      </c>
      <c r="BE99" s="209" t="str">
        <f>'SIMULADOR COM SALDO'!BF98</f>
        <v>IPSEMG MG</v>
      </c>
      <c r="BF99" s="209" t="str">
        <f>'SIMULADOR COM SALDO'!BG98</f>
        <v>765633 - Tabela 3</v>
      </c>
      <c r="BG99" s="209">
        <f>'SIMULADOR COM SALDO'!BH98</f>
        <v>1.9400000000000001E-2</v>
      </c>
      <c r="BH99" s="209">
        <f>'SIMULADOR COM SALDO'!BI98</f>
        <v>120</v>
      </c>
      <c r="BI99" s="209" t="str">
        <f>'SIMULADOR COM SALDO'!BJ98</f>
        <v/>
      </c>
      <c r="BJ99" s="209">
        <f>'SIMULADOR COM SALDO'!BK98</f>
        <v>2.4</v>
      </c>
      <c r="BK99" s="209">
        <f>'SIMULADOR COM SALDO'!BL98</f>
        <v>12</v>
      </c>
      <c r="BL99" s="209">
        <f>'SIMULADOR COM SALDO'!BM98</f>
        <v>46</v>
      </c>
      <c r="BM99" s="209" t="str">
        <f>'SIMULADOR COM SALDO'!BN98</f>
        <v>RFN - IPSEMG 3 DIG PORTABILIDADE</v>
      </c>
      <c r="BN99" s="209" t="str">
        <f>'SIMULADOR COM SALDO'!BO98</f>
        <v>1,64</v>
      </c>
      <c r="BO99" s="209">
        <f>'SIMULADOR COM SALDO'!BP98</f>
        <v>1.6399999999999998E-2</v>
      </c>
      <c r="BP99" s="209">
        <f>'SIMULADOR COM SALDO'!BQ98</f>
        <v>2.2426847838115851E-2</v>
      </c>
      <c r="BQ99" s="209">
        <f>'SIMULADOR COM SALDO'!BR98</f>
        <v>2.4E-2</v>
      </c>
      <c r="BR99" s="209">
        <f>'SIMULADOR COM SALDO'!BS98</f>
        <v>2.9999999999999997E-4</v>
      </c>
    </row>
    <row r="100" spans="2:70" hidden="1" x14ac:dyDescent="0.25">
      <c r="B100">
        <v>63</v>
      </c>
      <c r="C100" s="13">
        <f t="shared" ca="1" si="46"/>
        <v>47067</v>
      </c>
      <c r="D100" s="14">
        <f t="shared" si="37"/>
        <v>0</v>
      </c>
      <c r="E100" s="14">
        <f t="shared" si="49"/>
        <v>0</v>
      </c>
      <c r="F100" s="14">
        <f t="shared" si="49"/>
        <v>0</v>
      </c>
      <c r="G100" s="14">
        <f t="shared" si="49"/>
        <v>0</v>
      </c>
      <c r="H100" s="14">
        <f t="shared" si="49"/>
        <v>0</v>
      </c>
      <c r="I100" s="14">
        <f t="shared" si="49"/>
        <v>0</v>
      </c>
      <c r="J100" s="14">
        <f t="shared" si="49"/>
        <v>0</v>
      </c>
      <c r="K100" s="14">
        <f t="shared" si="49"/>
        <v>0</v>
      </c>
      <c r="L100" s="14">
        <f t="shared" si="49"/>
        <v>0</v>
      </c>
      <c r="M100" s="224">
        <f t="shared" si="49"/>
        <v>0</v>
      </c>
      <c r="N100" s="216"/>
      <c r="O100" s="216"/>
      <c r="P100" s="161">
        <v>85</v>
      </c>
      <c r="Q100" s="161">
        <f t="shared" si="48"/>
        <v>0</v>
      </c>
      <c r="R100" s="161">
        <f t="shared" si="60"/>
        <v>0</v>
      </c>
      <c r="S100" s="161">
        <f t="shared" si="61"/>
        <v>0</v>
      </c>
      <c r="T100" s="161">
        <f t="shared" si="62"/>
        <v>0</v>
      </c>
      <c r="U100" s="161">
        <f t="shared" si="63"/>
        <v>0</v>
      </c>
      <c r="V100" s="161">
        <f t="shared" si="64"/>
        <v>0</v>
      </c>
      <c r="W100" s="161">
        <f t="shared" si="65"/>
        <v>0</v>
      </c>
      <c r="X100" s="161">
        <f t="shared" si="66"/>
        <v>0</v>
      </c>
      <c r="Y100" s="161">
        <f t="shared" si="67"/>
        <v>0</v>
      </c>
      <c r="Z100" s="161">
        <f t="shared" si="68"/>
        <v>0</v>
      </c>
      <c r="AB100" s="168">
        <v>77</v>
      </c>
      <c r="AC100" s="213">
        <f t="shared" ca="1" si="55"/>
        <v>47493</v>
      </c>
      <c r="AD100" s="214">
        <f t="shared" si="50"/>
        <v>0</v>
      </c>
      <c r="AE100" s="168"/>
      <c r="AF100" s="168">
        <v>77</v>
      </c>
      <c r="AG100" s="213">
        <f t="shared" ca="1" si="56"/>
        <v>47493</v>
      </c>
      <c r="AH100" s="208">
        <f t="shared" si="57"/>
        <v>532.75</v>
      </c>
      <c r="AI100" s="215">
        <f t="shared" ca="1" si="51"/>
        <v>123.02552543911531</v>
      </c>
      <c r="AJ100" s="168">
        <v>77</v>
      </c>
      <c r="AK100" s="213">
        <f t="shared" ca="1" si="58"/>
        <v>47493</v>
      </c>
      <c r="AL100" s="208">
        <f t="shared" si="59"/>
        <v>532.75</v>
      </c>
      <c r="AN100" s="168">
        <v>77</v>
      </c>
      <c r="AO100" s="189">
        <f t="shared" ca="1" si="52"/>
        <v>47493</v>
      </c>
      <c r="BC100" s="186" t="str">
        <f t="shared" si="53"/>
        <v>4IPSEMG MG</v>
      </c>
      <c r="BD100" s="186">
        <f t="shared" si="54"/>
        <v>4</v>
      </c>
      <c r="BE100" s="209" t="str">
        <f>'SIMULADOR COM SALDO'!BF99</f>
        <v>IPSEMG MG</v>
      </c>
      <c r="BF100" s="209" t="str">
        <f>'SIMULADOR COM SALDO'!BG99</f>
        <v>765634 - Tabela 4</v>
      </c>
      <c r="BG100" s="209">
        <f>'SIMULADOR COM SALDO'!BH99</f>
        <v>1.7899999999999999E-2</v>
      </c>
      <c r="BH100" s="209">
        <f>'SIMULADOR COM SALDO'!BI99</f>
        <v>120</v>
      </c>
      <c r="BI100" s="209" t="str">
        <f>'SIMULADOR COM SALDO'!BJ99</f>
        <v/>
      </c>
      <c r="BJ100" s="209">
        <f>'SIMULADOR COM SALDO'!BK99</f>
        <v>2.4</v>
      </c>
      <c r="BK100" s="209">
        <f>'SIMULADOR COM SALDO'!BL99</f>
        <v>12</v>
      </c>
      <c r="BL100" s="209">
        <f>'SIMULADOR COM SALDO'!BM99</f>
        <v>47</v>
      </c>
      <c r="BM100" s="209" t="str">
        <f>'SIMULADOR COM SALDO'!BN99</f>
        <v>RFN - IPSEMG 4 DIG PORTABILIDADE</v>
      </c>
      <c r="BN100" s="209" t="str">
        <f>'SIMULADOR COM SALDO'!BO99</f>
        <v>1,64</v>
      </c>
      <c r="BO100" s="209">
        <f>'SIMULADOR COM SALDO'!BP99</f>
        <v>1.6399999999999998E-2</v>
      </c>
      <c r="BP100" s="209">
        <f>'SIMULADOR COM SALDO'!BQ99</f>
        <v>2.1141244685711175E-2</v>
      </c>
      <c r="BQ100" s="209">
        <f>'SIMULADOR COM SALDO'!BR99</f>
        <v>2.4E-2</v>
      </c>
      <c r="BR100" s="209">
        <f>'SIMULADOR COM SALDO'!BS99</f>
        <v>2.9999999999999997E-4</v>
      </c>
    </row>
    <row r="101" spans="2:70" hidden="1" x14ac:dyDescent="0.25">
      <c r="B101">
        <v>64</v>
      </c>
      <c r="C101" s="13">
        <f t="shared" ref="C101:C121" ca="1" si="69">AC87</f>
        <v>47097</v>
      </c>
      <c r="D101" s="14">
        <f t="shared" si="37"/>
        <v>0</v>
      </c>
      <c r="E101" s="14">
        <f t="shared" si="49"/>
        <v>0</v>
      </c>
      <c r="F101" s="14">
        <f t="shared" si="49"/>
        <v>0</v>
      </c>
      <c r="G101" s="14">
        <f t="shared" si="49"/>
        <v>0</v>
      </c>
      <c r="H101" s="14">
        <f t="shared" si="49"/>
        <v>0</v>
      </c>
      <c r="I101" s="14">
        <f t="shared" si="49"/>
        <v>0</v>
      </c>
      <c r="J101" s="14">
        <f t="shared" si="49"/>
        <v>0</v>
      </c>
      <c r="K101" s="14">
        <f t="shared" si="49"/>
        <v>0</v>
      </c>
      <c r="L101" s="14">
        <f t="shared" si="49"/>
        <v>0</v>
      </c>
      <c r="M101" s="224">
        <f t="shared" si="49"/>
        <v>0</v>
      </c>
      <c r="P101" s="161">
        <v>86</v>
      </c>
      <c r="Q101" s="161">
        <f t="shared" si="48"/>
        <v>0</v>
      </c>
      <c r="R101" s="161">
        <f t="shared" si="60"/>
        <v>0</v>
      </c>
      <c r="S101" s="161">
        <f t="shared" si="61"/>
        <v>0</v>
      </c>
      <c r="T101" s="161">
        <f t="shared" si="62"/>
        <v>0</v>
      </c>
      <c r="U101" s="161">
        <f t="shared" si="63"/>
        <v>0</v>
      </c>
      <c r="V101" s="161">
        <f t="shared" si="64"/>
        <v>0</v>
      </c>
      <c r="W101" s="161">
        <f t="shared" si="65"/>
        <v>0</v>
      </c>
      <c r="X101" s="161">
        <f t="shared" si="66"/>
        <v>0</v>
      </c>
      <c r="Y101" s="161">
        <f t="shared" si="67"/>
        <v>0</v>
      </c>
      <c r="Z101" s="161">
        <f t="shared" si="68"/>
        <v>0</v>
      </c>
      <c r="AB101" s="168">
        <v>78</v>
      </c>
      <c r="AC101" s="213">
        <f t="shared" ca="1" si="55"/>
        <v>47524</v>
      </c>
      <c r="AD101" s="214">
        <f t="shared" si="50"/>
        <v>0</v>
      </c>
      <c r="AE101" s="168"/>
      <c r="AF101" s="168">
        <v>78</v>
      </c>
      <c r="AG101" s="213">
        <f t="shared" ca="1" si="56"/>
        <v>47524</v>
      </c>
      <c r="AH101" s="208">
        <f t="shared" si="57"/>
        <v>532.75</v>
      </c>
      <c r="AI101" s="215">
        <f t="shared" ca="1" si="51"/>
        <v>120.64366821111544</v>
      </c>
      <c r="AJ101" s="168">
        <v>78</v>
      </c>
      <c r="AK101" s="213">
        <f t="shared" ca="1" si="58"/>
        <v>47524</v>
      </c>
      <c r="AL101" s="208">
        <f t="shared" si="59"/>
        <v>532.75</v>
      </c>
      <c r="AN101" s="168">
        <v>78</v>
      </c>
      <c r="AO101" s="189">
        <f t="shared" ca="1" si="52"/>
        <v>47524</v>
      </c>
      <c r="BC101" s="186" t="str">
        <f t="shared" si="53"/>
        <v>1IPSM MG</v>
      </c>
      <c r="BD101" s="186">
        <f t="shared" si="54"/>
        <v>1</v>
      </c>
      <c r="BE101" s="209" t="str">
        <f>'SIMULADOR COM SALDO'!BF100</f>
        <v>IPSM MG</v>
      </c>
      <c r="BF101" s="209" t="str">
        <f>'SIMULADOR COM SALDO'!BG100</f>
        <v>765643 - Tabela 3</v>
      </c>
      <c r="BG101" s="209">
        <f>'SIMULADOR COM SALDO'!BH100</f>
        <v>1.9400000000000001E-2</v>
      </c>
      <c r="BH101" s="209">
        <f>'SIMULADOR COM SALDO'!BI100</f>
        <v>120</v>
      </c>
      <c r="BI101" s="209" t="str">
        <f>'SIMULADOR COM SALDO'!BJ100</f>
        <v/>
      </c>
      <c r="BJ101" s="209">
        <f>'SIMULADOR COM SALDO'!BK100</f>
        <v>2.4</v>
      </c>
      <c r="BK101" s="209">
        <f>'SIMULADOR COM SALDO'!BL100</f>
        <v>10</v>
      </c>
      <c r="BL101" s="209">
        <f>'SIMULADOR COM SALDO'!BM100</f>
        <v>46</v>
      </c>
      <c r="BM101" s="209" t="str">
        <f>'SIMULADOR COM SALDO'!BN100</f>
        <v>RFN - IPSM 3 DIG PORTABILIDADE</v>
      </c>
      <c r="BN101" s="209" t="str">
        <f>'SIMULADOR COM SALDO'!BO100</f>
        <v>1,64</v>
      </c>
      <c r="BO101" s="209">
        <f>'SIMULADOR COM SALDO'!BP100</f>
        <v>1.6399999999999998E-2</v>
      </c>
      <c r="BP101" s="209">
        <f>'SIMULADOR COM SALDO'!BQ100</f>
        <v>2.2426847838115851E-2</v>
      </c>
      <c r="BQ101" s="209">
        <f>'SIMULADOR COM SALDO'!BR100</f>
        <v>2.4E-2</v>
      </c>
      <c r="BR101" s="209">
        <f>'SIMULADOR COM SALDO'!BS100</f>
        <v>2.9999999999999997E-4</v>
      </c>
    </row>
    <row r="102" spans="2:70" hidden="1" x14ac:dyDescent="0.25">
      <c r="B102">
        <v>65</v>
      </c>
      <c r="C102" s="13">
        <f t="shared" ca="1" si="69"/>
        <v>47128</v>
      </c>
      <c r="D102" s="14">
        <f t="shared" si="37"/>
        <v>0</v>
      </c>
      <c r="E102" s="14">
        <f t="shared" ref="E102:M117" si="70">IF($B102&lt;=E$20,E$17/(($C$36+1)^(($C102-$C$37)/30)),0)</f>
        <v>0</v>
      </c>
      <c r="F102" s="14">
        <f t="shared" si="70"/>
        <v>0</v>
      </c>
      <c r="G102" s="14">
        <f t="shared" si="70"/>
        <v>0</v>
      </c>
      <c r="H102" s="14">
        <f t="shared" si="70"/>
        <v>0</v>
      </c>
      <c r="I102" s="14">
        <f t="shared" si="70"/>
        <v>0</v>
      </c>
      <c r="J102" s="14">
        <f t="shared" si="70"/>
        <v>0</v>
      </c>
      <c r="K102" s="14">
        <f t="shared" si="70"/>
        <v>0</v>
      </c>
      <c r="L102" s="14">
        <f t="shared" si="70"/>
        <v>0</v>
      </c>
      <c r="M102" s="224">
        <f t="shared" si="70"/>
        <v>0</v>
      </c>
      <c r="P102" s="161">
        <v>87</v>
      </c>
      <c r="Q102" s="161">
        <f t="shared" si="48"/>
        <v>0</v>
      </c>
      <c r="R102" s="161">
        <f t="shared" si="60"/>
        <v>0</v>
      </c>
      <c r="S102" s="161">
        <f t="shared" si="61"/>
        <v>0</v>
      </c>
      <c r="T102" s="161">
        <f t="shared" si="62"/>
        <v>0</v>
      </c>
      <c r="U102" s="161">
        <f t="shared" si="63"/>
        <v>0</v>
      </c>
      <c r="V102" s="161">
        <f t="shared" si="64"/>
        <v>0</v>
      </c>
      <c r="W102" s="161">
        <f t="shared" si="65"/>
        <v>0</v>
      </c>
      <c r="X102" s="161">
        <f t="shared" si="66"/>
        <v>0</v>
      </c>
      <c r="Y102" s="161">
        <f t="shared" si="67"/>
        <v>0</v>
      </c>
      <c r="Z102" s="161">
        <f t="shared" si="68"/>
        <v>0</v>
      </c>
      <c r="AB102" s="168">
        <v>79</v>
      </c>
      <c r="AC102" s="213">
        <f t="shared" ca="1" si="55"/>
        <v>47552</v>
      </c>
      <c r="AD102" s="214">
        <f t="shared" si="50"/>
        <v>0</v>
      </c>
      <c r="AE102" s="168"/>
      <c r="AF102" s="168">
        <v>79</v>
      </c>
      <c r="AG102" s="213">
        <f t="shared" ca="1" si="56"/>
        <v>47552</v>
      </c>
      <c r="AH102" s="208">
        <f t="shared" si="57"/>
        <v>532.75</v>
      </c>
      <c r="AI102" s="215">
        <f t="shared" ca="1" si="51"/>
        <v>118.53197446186921</v>
      </c>
      <c r="AJ102" s="168">
        <v>79</v>
      </c>
      <c r="AK102" s="213">
        <f t="shared" ca="1" si="58"/>
        <v>47552</v>
      </c>
      <c r="AL102" s="208">
        <f t="shared" si="59"/>
        <v>532.75</v>
      </c>
      <c r="AN102" s="168">
        <v>79</v>
      </c>
      <c r="AO102" s="189">
        <f t="shared" ca="1" si="52"/>
        <v>47552</v>
      </c>
      <c r="BC102" s="186" t="str">
        <f t="shared" si="53"/>
        <v>1MANAUSPREV</v>
      </c>
      <c r="BD102" s="186">
        <f t="shared" si="54"/>
        <v>1</v>
      </c>
      <c r="BE102" s="209" t="str">
        <f>'SIMULADOR COM SALDO'!BF101</f>
        <v>MANAUSPREV</v>
      </c>
      <c r="BF102" s="209" t="str">
        <f>'SIMULADOR COM SALDO'!BG101</f>
        <v>705531 - Tabela 1</v>
      </c>
      <c r="BG102" s="209">
        <f>'SIMULADOR COM SALDO'!BH101</f>
        <v>2.3E-2</v>
      </c>
      <c r="BH102" s="209">
        <f>'SIMULADOR COM SALDO'!BI101</f>
        <v>96</v>
      </c>
      <c r="BI102" s="209" t="str">
        <f>'SIMULADOR COM SALDO'!BJ101</f>
        <v/>
      </c>
      <c r="BJ102" s="209">
        <f>'SIMULADOR COM SALDO'!BK101</f>
        <v>2.8</v>
      </c>
      <c r="BK102" s="209">
        <f>'SIMULADOR COM SALDO'!BL101</f>
        <v>25</v>
      </c>
      <c r="BL102" s="209">
        <f>'SIMULADOR COM SALDO'!BM101</f>
        <v>74</v>
      </c>
      <c r="BM102" s="209" t="str">
        <f>'SIMULADOR COM SALDO'!BN101</f>
        <v>RFN - MANAUSPREV DIG PORTAB PLUS 1</v>
      </c>
      <c r="BN102" s="209" t="str">
        <f>'SIMULADOR COM SALDO'!BO101</f>
        <v>1,85</v>
      </c>
      <c r="BO102" s="209">
        <f>'SIMULADOR COM SALDO'!BP101</f>
        <v>1.8500000000000003E-2</v>
      </c>
      <c r="BP102" s="209">
        <f>'SIMULADOR COM SALDO'!BQ101</f>
        <v>2.760911288490615E-2</v>
      </c>
      <c r="BQ102" s="209">
        <f>'SIMULADOR COM SALDO'!BR101</f>
        <v>2.7999999999999997E-2</v>
      </c>
      <c r="BR102" s="209">
        <f>'SIMULADOR COM SALDO'!BS101</f>
        <v>2.9999999999999997E-4</v>
      </c>
    </row>
    <row r="103" spans="2:70" hidden="1" x14ac:dyDescent="0.25">
      <c r="B103">
        <v>66</v>
      </c>
      <c r="C103" s="13">
        <f t="shared" ca="1" si="69"/>
        <v>47159</v>
      </c>
      <c r="D103" s="14">
        <f t="shared" ref="D103:D133" si="71">IF($B103&lt;=D$20,D$17/(($C$36+1)^(($C103-$C$37)/30)),0)</f>
        <v>0</v>
      </c>
      <c r="E103" s="14">
        <f t="shared" si="70"/>
        <v>0</v>
      </c>
      <c r="F103" s="14">
        <f t="shared" si="70"/>
        <v>0</v>
      </c>
      <c r="G103" s="14">
        <f t="shared" si="70"/>
        <v>0</v>
      </c>
      <c r="H103" s="14">
        <f t="shared" si="70"/>
        <v>0</v>
      </c>
      <c r="I103" s="14">
        <f t="shared" si="70"/>
        <v>0</v>
      </c>
      <c r="J103" s="14">
        <f t="shared" si="70"/>
        <v>0</v>
      </c>
      <c r="K103" s="14">
        <f t="shared" si="70"/>
        <v>0</v>
      </c>
      <c r="L103" s="14">
        <f t="shared" si="70"/>
        <v>0</v>
      </c>
      <c r="M103" s="224">
        <f t="shared" si="70"/>
        <v>0</v>
      </c>
      <c r="P103" s="161">
        <v>88</v>
      </c>
      <c r="Q103" s="161">
        <f t="shared" si="48"/>
        <v>0</v>
      </c>
      <c r="R103" s="161">
        <f t="shared" si="60"/>
        <v>0</v>
      </c>
      <c r="S103" s="161">
        <f t="shared" si="61"/>
        <v>0</v>
      </c>
      <c r="T103" s="161">
        <f t="shared" si="62"/>
        <v>0</v>
      </c>
      <c r="U103" s="161">
        <f t="shared" si="63"/>
        <v>0</v>
      </c>
      <c r="V103" s="161">
        <f t="shared" si="64"/>
        <v>0</v>
      </c>
      <c r="W103" s="161">
        <f t="shared" si="65"/>
        <v>0</v>
      </c>
      <c r="X103" s="161">
        <f t="shared" si="66"/>
        <v>0</v>
      </c>
      <c r="Y103" s="161">
        <f t="shared" si="67"/>
        <v>0</v>
      </c>
      <c r="Z103" s="161">
        <f t="shared" si="68"/>
        <v>0</v>
      </c>
      <c r="AB103" s="168">
        <v>80</v>
      </c>
      <c r="AC103" s="213">
        <f t="shared" ca="1" si="55"/>
        <v>47583</v>
      </c>
      <c r="AD103" s="214">
        <f t="shared" si="50"/>
        <v>0</v>
      </c>
      <c r="AE103" s="168"/>
      <c r="AF103" s="168">
        <v>80</v>
      </c>
      <c r="AG103" s="213">
        <f t="shared" ca="1" si="56"/>
        <v>47583</v>
      </c>
      <c r="AH103" s="208">
        <f t="shared" si="57"/>
        <v>532.75</v>
      </c>
      <c r="AI103" s="215">
        <f t="shared" ca="1" si="51"/>
        <v>116.23711541442043</v>
      </c>
      <c r="AJ103" s="168">
        <v>80</v>
      </c>
      <c r="AK103" s="213">
        <f t="shared" ca="1" si="58"/>
        <v>47583</v>
      </c>
      <c r="AL103" s="208">
        <f t="shared" si="59"/>
        <v>532.75</v>
      </c>
      <c r="AN103" s="168">
        <v>80</v>
      </c>
      <c r="AO103" s="189">
        <f t="shared" ca="1" si="52"/>
        <v>47583</v>
      </c>
      <c r="BC103" s="186" t="str">
        <f t="shared" si="53"/>
        <v>2MANAUSPREV</v>
      </c>
      <c r="BD103" s="186">
        <f t="shared" si="54"/>
        <v>2</v>
      </c>
      <c r="BE103" s="209" t="str">
        <f>'SIMULADOR COM SALDO'!BF102</f>
        <v>MANAUSPREV</v>
      </c>
      <c r="BF103" s="209" t="str">
        <f>'SIMULADOR COM SALDO'!BG102</f>
        <v>705532 - Tabela 2</v>
      </c>
      <c r="BG103" s="209">
        <f>'SIMULADOR COM SALDO'!BH102</f>
        <v>2.2000000000000002E-2</v>
      </c>
      <c r="BH103" s="209">
        <f>'SIMULADOR COM SALDO'!BI102</f>
        <v>96</v>
      </c>
      <c r="BI103" s="209" t="str">
        <f>'SIMULADOR COM SALDO'!BJ102</f>
        <v/>
      </c>
      <c r="BJ103" s="209">
        <f>'SIMULADOR COM SALDO'!BK102</f>
        <v>2.8</v>
      </c>
      <c r="BK103" s="209">
        <f>'SIMULADOR COM SALDO'!BL102</f>
        <v>25</v>
      </c>
      <c r="BL103" s="209">
        <f>'SIMULADOR COM SALDO'!BM102</f>
        <v>73</v>
      </c>
      <c r="BM103" s="209" t="str">
        <f>'SIMULADOR COM SALDO'!BN102</f>
        <v>RFN - MANAUSPREV DIG PORTAB PLUS 2</v>
      </c>
      <c r="BN103" s="209" t="str">
        <f>'SIMULADOR COM SALDO'!BO102</f>
        <v>1,85</v>
      </c>
      <c r="BO103" s="209">
        <f>'SIMULADOR COM SALDO'!BP102</f>
        <v>1.8500000000000003E-2</v>
      </c>
      <c r="BP103" s="209">
        <f>'SIMULADOR COM SALDO'!BQ102</f>
        <v>2.6685397482318549E-2</v>
      </c>
      <c r="BQ103" s="209">
        <f>'SIMULADOR COM SALDO'!BR102</f>
        <v>2.7999999999999997E-2</v>
      </c>
      <c r="BR103" s="209">
        <f>'SIMULADOR COM SALDO'!BS102</f>
        <v>2.9999999999999997E-4</v>
      </c>
    </row>
    <row r="104" spans="2:70" hidden="1" x14ac:dyDescent="0.25">
      <c r="B104">
        <v>67</v>
      </c>
      <c r="C104" s="13">
        <f t="shared" ca="1" si="69"/>
        <v>47187</v>
      </c>
      <c r="D104" s="14">
        <f t="shared" si="71"/>
        <v>0</v>
      </c>
      <c r="E104" s="14">
        <f t="shared" si="70"/>
        <v>0</v>
      </c>
      <c r="F104" s="14">
        <f t="shared" si="70"/>
        <v>0</v>
      </c>
      <c r="G104" s="14">
        <f t="shared" si="70"/>
        <v>0</v>
      </c>
      <c r="H104" s="14">
        <f t="shared" si="70"/>
        <v>0</v>
      </c>
      <c r="I104" s="14">
        <f t="shared" si="70"/>
        <v>0</v>
      </c>
      <c r="J104" s="14">
        <f t="shared" si="70"/>
        <v>0</v>
      </c>
      <c r="K104" s="14">
        <f t="shared" si="70"/>
        <v>0</v>
      </c>
      <c r="L104" s="14">
        <f t="shared" si="70"/>
        <v>0</v>
      </c>
      <c r="M104" s="224">
        <f t="shared" si="70"/>
        <v>0</v>
      </c>
      <c r="P104" s="161">
        <v>89</v>
      </c>
      <c r="Q104" s="161">
        <f t="shared" si="48"/>
        <v>0</v>
      </c>
      <c r="R104" s="161">
        <f t="shared" si="60"/>
        <v>0</v>
      </c>
      <c r="S104" s="161">
        <f t="shared" si="61"/>
        <v>0</v>
      </c>
      <c r="T104" s="161">
        <f t="shared" si="62"/>
        <v>0</v>
      </c>
      <c r="U104" s="161">
        <f t="shared" si="63"/>
        <v>0</v>
      </c>
      <c r="V104" s="161">
        <f t="shared" si="64"/>
        <v>0</v>
      </c>
      <c r="W104" s="161">
        <f t="shared" si="65"/>
        <v>0</v>
      </c>
      <c r="X104" s="161">
        <f t="shared" si="66"/>
        <v>0</v>
      </c>
      <c r="Y104" s="161">
        <f t="shared" si="67"/>
        <v>0</v>
      </c>
      <c r="Z104" s="161">
        <f t="shared" si="68"/>
        <v>0</v>
      </c>
      <c r="AB104" s="168">
        <v>81</v>
      </c>
      <c r="AC104" s="213">
        <f t="shared" ca="1" si="55"/>
        <v>47613</v>
      </c>
      <c r="AD104" s="214">
        <f t="shared" si="50"/>
        <v>0</v>
      </c>
      <c r="AE104" s="168"/>
      <c r="AF104" s="168">
        <v>81</v>
      </c>
      <c r="AG104" s="213">
        <f t="shared" ca="1" si="56"/>
        <v>47613</v>
      </c>
      <c r="AH104" s="208">
        <f t="shared" si="57"/>
        <v>532.75</v>
      </c>
      <c r="AI104" s="215">
        <f t="shared" ca="1" si="51"/>
        <v>114.0585962264944</v>
      </c>
      <c r="AJ104" s="168">
        <v>81</v>
      </c>
      <c r="AK104" s="213">
        <f t="shared" ca="1" si="58"/>
        <v>47613</v>
      </c>
      <c r="AL104" s="208">
        <f t="shared" si="59"/>
        <v>532.75</v>
      </c>
      <c r="AN104" s="168">
        <v>81</v>
      </c>
      <c r="AO104" s="189">
        <f t="shared" ca="1" si="52"/>
        <v>47613</v>
      </c>
      <c r="BC104" s="186" t="str">
        <f t="shared" si="53"/>
        <v>3MANAUSPREV</v>
      </c>
      <c r="BD104" s="186">
        <f t="shared" si="54"/>
        <v>3</v>
      </c>
      <c r="BE104" s="209" t="str">
        <f>'SIMULADOR COM SALDO'!BF103</f>
        <v>MANAUSPREV</v>
      </c>
      <c r="BF104" s="209" t="str">
        <f>'SIMULADOR COM SALDO'!BG103</f>
        <v>705533 - Tabela 3</v>
      </c>
      <c r="BG104" s="209">
        <f>'SIMULADOR COM SALDO'!BH103</f>
        <v>2.1000000000000001E-2</v>
      </c>
      <c r="BH104" s="209">
        <f>'SIMULADOR COM SALDO'!BI103</f>
        <v>96</v>
      </c>
      <c r="BI104" s="209" t="str">
        <f>'SIMULADOR COM SALDO'!BJ103</f>
        <v/>
      </c>
      <c r="BJ104" s="209">
        <f>'SIMULADOR COM SALDO'!BK103</f>
        <v>2.8</v>
      </c>
      <c r="BK104" s="209">
        <f>'SIMULADOR COM SALDO'!BL103</f>
        <v>25</v>
      </c>
      <c r="BL104" s="209">
        <f>'SIMULADOR COM SALDO'!BM103</f>
        <v>69</v>
      </c>
      <c r="BM104" s="209" t="str">
        <f>'SIMULADOR COM SALDO'!BN103</f>
        <v>RFN - MANAUSPREV DIG PORTAB PLUS 3</v>
      </c>
      <c r="BN104" s="209" t="str">
        <f>'SIMULADOR COM SALDO'!BO103</f>
        <v>1,85</v>
      </c>
      <c r="BO104" s="209">
        <f>'SIMULADOR COM SALDO'!BP103</f>
        <v>1.8500000000000003E-2</v>
      </c>
      <c r="BP104" s="209">
        <f>'SIMULADOR COM SALDO'!BQ103</f>
        <v>2.5724463021820666E-2</v>
      </c>
      <c r="BQ104" s="209">
        <f>'SIMULADOR COM SALDO'!BR103</f>
        <v>2.7999999999999997E-2</v>
      </c>
      <c r="BR104" s="209">
        <f>'SIMULADOR COM SALDO'!BS103</f>
        <v>2.9999999999999997E-4</v>
      </c>
    </row>
    <row r="105" spans="2:70" hidden="1" x14ac:dyDescent="0.25">
      <c r="B105">
        <v>68</v>
      </c>
      <c r="C105" s="13">
        <f t="shared" ca="1" si="69"/>
        <v>47218</v>
      </c>
      <c r="D105" s="14">
        <f t="shared" si="71"/>
        <v>0</v>
      </c>
      <c r="E105" s="14">
        <f t="shared" si="70"/>
        <v>0</v>
      </c>
      <c r="F105" s="14">
        <f t="shared" si="70"/>
        <v>0</v>
      </c>
      <c r="G105" s="14">
        <f t="shared" si="70"/>
        <v>0</v>
      </c>
      <c r="H105" s="14">
        <f t="shared" si="70"/>
        <v>0</v>
      </c>
      <c r="I105" s="14">
        <f t="shared" si="70"/>
        <v>0</v>
      </c>
      <c r="J105" s="14">
        <f t="shared" si="70"/>
        <v>0</v>
      </c>
      <c r="K105" s="14">
        <f t="shared" si="70"/>
        <v>0</v>
      </c>
      <c r="L105" s="14">
        <f t="shared" si="70"/>
        <v>0</v>
      </c>
      <c r="M105" s="224">
        <f t="shared" si="70"/>
        <v>0</v>
      </c>
      <c r="P105" s="161">
        <v>90</v>
      </c>
      <c r="Q105" s="161">
        <f t="shared" si="48"/>
        <v>0</v>
      </c>
      <c r="R105" s="161">
        <f t="shared" si="60"/>
        <v>0</v>
      </c>
      <c r="S105" s="161">
        <f t="shared" si="61"/>
        <v>0</v>
      </c>
      <c r="T105" s="161">
        <f t="shared" si="62"/>
        <v>0</v>
      </c>
      <c r="U105" s="161">
        <f t="shared" si="63"/>
        <v>0</v>
      </c>
      <c r="V105" s="161">
        <f t="shared" si="64"/>
        <v>0</v>
      </c>
      <c r="W105" s="161">
        <f t="shared" si="65"/>
        <v>0</v>
      </c>
      <c r="X105" s="161">
        <f t="shared" si="66"/>
        <v>0</v>
      </c>
      <c r="Y105" s="161">
        <f t="shared" si="67"/>
        <v>0</v>
      </c>
      <c r="Z105" s="161">
        <f t="shared" si="68"/>
        <v>0</v>
      </c>
      <c r="AB105" s="168">
        <v>82</v>
      </c>
      <c r="AC105" s="213">
        <f t="shared" ca="1" si="55"/>
        <v>47644</v>
      </c>
      <c r="AD105" s="214">
        <f t="shared" si="50"/>
        <v>0</v>
      </c>
      <c r="AE105" s="168"/>
      <c r="AF105" s="168">
        <v>82</v>
      </c>
      <c r="AG105" s="213">
        <f t="shared" ca="1" si="56"/>
        <v>47644</v>
      </c>
      <c r="AH105" s="208">
        <f t="shared" si="57"/>
        <v>532.75</v>
      </c>
      <c r="AI105" s="215">
        <f t="shared" ca="1" si="51"/>
        <v>111.85034480169524</v>
      </c>
      <c r="AJ105" s="168">
        <v>82</v>
      </c>
      <c r="AK105" s="213">
        <f t="shared" ca="1" si="58"/>
        <v>47644</v>
      </c>
      <c r="AL105" s="208">
        <f t="shared" si="59"/>
        <v>532.75</v>
      </c>
      <c r="AN105" s="168">
        <v>82</v>
      </c>
      <c r="AO105" s="189">
        <f t="shared" ca="1" si="52"/>
        <v>47644</v>
      </c>
      <c r="BC105" s="186" t="str">
        <f t="shared" si="53"/>
        <v>1MARINHA</v>
      </c>
      <c r="BD105" s="186">
        <f t="shared" si="54"/>
        <v>1</v>
      </c>
      <c r="BE105" s="209" t="str">
        <f>'SIMULADOR COM SALDO'!BF104</f>
        <v>MARINHA</v>
      </c>
      <c r="BF105" s="209" t="str">
        <f>'SIMULADOR COM SALDO'!BG104</f>
        <v>795353 - Tabela 1</v>
      </c>
      <c r="BG105" s="209">
        <f>'SIMULADOR COM SALDO'!BH104</f>
        <v>1.9E-2</v>
      </c>
      <c r="BH105" s="209">
        <f>'SIMULADOR COM SALDO'!BI104</f>
        <v>72</v>
      </c>
      <c r="BI105" s="209" t="str">
        <f>'SIMULADOR COM SALDO'!BJ104</f>
        <v/>
      </c>
      <c r="BJ105" s="209">
        <f>'SIMULADOR COM SALDO'!BK104</f>
        <v>2</v>
      </c>
      <c r="BK105" s="209">
        <f>'SIMULADOR COM SALDO'!BL104</f>
        <v>5</v>
      </c>
      <c r="BL105" s="209">
        <f>'SIMULADOR COM SALDO'!BM104</f>
        <v>49</v>
      </c>
      <c r="BM105" s="209" t="str">
        <f>'SIMULADOR COM SALDO'!BN104</f>
        <v>RFN-MARINHA DIG PORTAB PLUS 1</v>
      </c>
      <c r="BN105" s="209">
        <f>'SIMULADOR COM SALDO'!BO104</f>
        <v>1.3</v>
      </c>
      <c r="BO105" s="209">
        <f>'SIMULADOR COM SALDO'!BP104</f>
        <v>1.3000000000000001E-2</v>
      </c>
      <c r="BP105" s="209">
        <f>'SIMULADOR COM SALDO'!BQ104</f>
        <v>2.6691908414616727E-2</v>
      </c>
      <c r="BQ105" s="209">
        <f>'SIMULADOR COM SALDO'!BR104</f>
        <v>2.1600000000000001E-2</v>
      </c>
      <c r="BR105" s="209">
        <f>'SIMULADOR COM SALDO'!BS104</f>
        <v>2.9999999999999997E-4</v>
      </c>
    </row>
    <row r="106" spans="2:70" hidden="1" x14ac:dyDescent="0.25">
      <c r="B106">
        <v>69</v>
      </c>
      <c r="C106" s="13">
        <f t="shared" ca="1" si="69"/>
        <v>47248</v>
      </c>
      <c r="D106" s="14">
        <f t="shared" si="71"/>
        <v>0</v>
      </c>
      <c r="E106" s="14">
        <f t="shared" si="70"/>
        <v>0</v>
      </c>
      <c r="F106" s="14">
        <f t="shared" si="70"/>
        <v>0</v>
      </c>
      <c r="G106" s="14">
        <f t="shared" si="70"/>
        <v>0</v>
      </c>
      <c r="H106" s="14">
        <f t="shared" si="70"/>
        <v>0</v>
      </c>
      <c r="I106" s="14">
        <f t="shared" si="70"/>
        <v>0</v>
      </c>
      <c r="J106" s="14">
        <f t="shared" si="70"/>
        <v>0</v>
      </c>
      <c r="K106" s="14">
        <f t="shared" si="70"/>
        <v>0</v>
      </c>
      <c r="L106" s="14">
        <f t="shared" si="70"/>
        <v>0</v>
      </c>
      <c r="M106" s="224">
        <f t="shared" si="70"/>
        <v>0</v>
      </c>
      <c r="P106" s="161">
        <v>91</v>
      </c>
      <c r="Q106" s="161">
        <f t="shared" si="48"/>
        <v>0</v>
      </c>
      <c r="R106" s="161">
        <f t="shared" si="60"/>
        <v>0</v>
      </c>
      <c r="S106" s="161">
        <f t="shared" si="61"/>
        <v>0</v>
      </c>
      <c r="T106" s="161">
        <f t="shared" si="62"/>
        <v>0</v>
      </c>
      <c r="U106" s="161">
        <f t="shared" si="63"/>
        <v>0</v>
      </c>
      <c r="V106" s="161">
        <f t="shared" si="64"/>
        <v>0</v>
      </c>
      <c r="W106" s="161">
        <f t="shared" si="65"/>
        <v>0</v>
      </c>
      <c r="X106" s="161">
        <f t="shared" si="66"/>
        <v>0</v>
      </c>
      <c r="Y106" s="161">
        <f t="shared" si="67"/>
        <v>0</v>
      </c>
      <c r="Z106" s="161">
        <f t="shared" si="68"/>
        <v>0</v>
      </c>
      <c r="AB106" s="168">
        <v>83</v>
      </c>
      <c r="AC106" s="213">
        <f t="shared" ca="1" si="55"/>
        <v>47674</v>
      </c>
      <c r="AD106" s="214">
        <f t="shared" si="50"/>
        <v>0</v>
      </c>
      <c r="AE106" s="168"/>
      <c r="AF106" s="168">
        <v>83</v>
      </c>
      <c r="AG106" s="213">
        <f t="shared" ca="1" si="56"/>
        <v>47674</v>
      </c>
      <c r="AH106" s="208">
        <f t="shared" si="57"/>
        <v>532.75</v>
      </c>
      <c r="AI106" s="215">
        <f t="shared" ca="1" si="51"/>
        <v>109.75404258825949</v>
      </c>
      <c r="AJ106" s="168">
        <v>83</v>
      </c>
      <c r="AK106" s="213">
        <f t="shared" ca="1" si="58"/>
        <v>47674</v>
      </c>
      <c r="AL106" s="208">
        <f t="shared" si="59"/>
        <v>532.75</v>
      </c>
      <c r="AN106" s="168">
        <v>83</v>
      </c>
      <c r="AO106" s="189">
        <f t="shared" ca="1" si="52"/>
        <v>47674</v>
      </c>
      <c r="BC106" s="186" t="str">
        <f t="shared" si="53"/>
        <v>2MARINHA</v>
      </c>
      <c r="BD106" s="186">
        <f t="shared" si="54"/>
        <v>2</v>
      </c>
      <c r="BE106" s="209" t="str">
        <f>'SIMULADOR COM SALDO'!BF105</f>
        <v>MARINHA</v>
      </c>
      <c r="BF106" s="209" t="str">
        <f>'SIMULADOR COM SALDO'!BG105</f>
        <v>795352 - Tabela 2</v>
      </c>
      <c r="BG106" s="209">
        <f>'SIMULADOR COM SALDO'!BH105</f>
        <v>1.8500000000000003E-2</v>
      </c>
      <c r="BH106" s="209">
        <f>'SIMULADOR COM SALDO'!BI105</f>
        <v>72</v>
      </c>
      <c r="BI106" s="209" t="str">
        <f>'SIMULADOR COM SALDO'!BJ105</f>
        <v/>
      </c>
      <c r="BJ106" s="209">
        <f>'SIMULADOR COM SALDO'!BK105</f>
        <v>2</v>
      </c>
      <c r="BK106" s="209">
        <f>'SIMULADOR COM SALDO'!BL105</f>
        <v>5</v>
      </c>
      <c r="BL106" s="209">
        <f>'SIMULADOR COM SALDO'!BM105</f>
        <v>49</v>
      </c>
      <c r="BM106" s="209" t="str">
        <f>'SIMULADOR COM SALDO'!BN105</f>
        <v>RFN-MARINHA DIG PORTAB PLUS 2</v>
      </c>
      <c r="BN106" s="209">
        <f>'SIMULADOR COM SALDO'!BO105</f>
        <v>1.3</v>
      </c>
      <c r="BO106" s="209">
        <f>'SIMULADOR COM SALDO'!BP105</f>
        <v>1.3000000000000001E-2</v>
      </c>
      <c r="BP106" s="209">
        <f>'SIMULADOR COM SALDO'!BQ105</f>
        <v>2.6310306310529694E-2</v>
      </c>
      <c r="BQ106" s="209">
        <f>'SIMULADOR COM SALDO'!BR105</f>
        <v>2.1600000000000001E-2</v>
      </c>
      <c r="BR106" s="209">
        <f>'SIMULADOR COM SALDO'!BS105</f>
        <v>2.9999999999999997E-4</v>
      </c>
    </row>
    <row r="107" spans="2:70" hidden="1" x14ac:dyDescent="0.25">
      <c r="B107">
        <v>70</v>
      </c>
      <c r="C107" s="13">
        <f t="shared" ca="1" si="69"/>
        <v>47279</v>
      </c>
      <c r="D107" s="14">
        <f t="shared" si="71"/>
        <v>0</v>
      </c>
      <c r="E107" s="14">
        <f t="shared" si="70"/>
        <v>0</v>
      </c>
      <c r="F107" s="14">
        <f t="shared" si="70"/>
        <v>0</v>
      </c>
      <c r="G107" s="14">
        <f t="shared" si="70"/>
        <v>0</v>
      </c>
      <c r="H107" s="14">
        <f t="shared" si="70"/>
        <v>0</v>
      </c>
      <c r="I107" s="14">
        <f t="shared" si="70"/>
        <v>0</v>
      </c>
      <c r="J107" s="14">
        <f t="shared" si="70"/>
        <v>0</v>
      </c>
      <c r="K107" s="14">
        <f t="shared" si="70"/>
        <v>0</v>
      </c>
      <c r="L107" s="14">
        <f t="shared" si="70"/>
        <v>0</v>
      </c>
      <c r="M107" s="224">
        <f t="shared" si="70"/>
        <v>0</v>
      </c>
      <c r="P107" s="161">
        <v>92</v>
      </c>
      <c r="Q107" s="161">
        <f t="shared" si="48"/>
        <v>0</v>
      </c>
      <c r="R107" s="161">
        <f t="shared" si="60"/>
        <v>0</v>
      </c>
      <c r="S107" s="161">
        <f t="shared" si="61"/>
        <v>0</v>
      </c>
      <c r="T107" s="161">
        <f t="shared" si="62"/>
        <v>0</v>
      </c>
      <c r="U107" s="161">
        <f t="shared" si="63"/>
        <v>0</v>
      </c>
      <c r="V107" s="161">
        <f t="shared" si="64"/>
        <v>0</v>
      </c>
      <c r="W107" s="161">
        <f t="shared" si="65"/>
        <v>0</v>
      </c>
      <c r="X107" s="161">
        <f t="shared" si="66"/>
        <v>0</v>
      </c>
      <c r="Y107" s="161">
        <f t="shared" si="67"/>
        <v>0</v>
      </c>
      <c r="Z107" s="161">
        <f t="shared" si="68"/>
        <v>0</v>
      </c>
      <c r="AB107" s="168">
        <v>84</v>
      </c>
      <c r="AC107" s="213">
        <f t="shared" ca="1" si="55"/>
        <v>47705</v>
      </c>
      <c r="AD107" s="214">
        <f t="shared" si="50"/>
        <v>0</v>
      </c>
      <c r="AE107" s="168"/>
      <c r="AF107" s="168">
        <v>84</v>
      </c>
      <c r="AG107" s="213">
        <f t="shared" ca="1" si="56"/>
        <v>47705</v>
      </c>
      <c r="AH107" s="208">
        <f t="shared" si="57"/>
        <v>532.75</v>
      </c>
      <c r="AI107" s="215">
        <f t="shared" ca="1" si="51"/>
        <v>107.62913022793454</v>
      </c>
      <c r="AJ107" s="168">
        <v>84</v>
      </c>
      <c r="AK107" s="213">
        <f t="shared" ca="1" si="58"/>
        <v>47705</v>
      </c>
      <c r="AL107" s="208">
        <f t="shared" si="59"/>
        <v>532.75</v>
      </c>
      <c r="AN107" s="168">
        <v>84</v>
      </c>
      <c r="AO107" s="189">
        <f t="shared" ca="1" si="52"/>
        <v>47705</v>
      </c>
      <c r="BC107" s="186" t="str">
        <f t="shared" si="53"/>
        <v>3MARINHA</v>
      </c>
      <c r="BD107" s="186">
        <f t="shared" si="54"/>
        <v>3</v>
      </c>
      <c r="BE107" s="209" t="str">
        <f>'SIMULADOR COM SALDO'!BF106</f>
        <v>MARINHA</v>
      </c>
      <c r="BF107" s="209" t="str">
        <f>'SIMULADOR COM SALDO'!BG106</f>
        <v>795355 - Tabela 3</v>
      </c>
      <c r="BG107" s="209">
        <f>'SIMULADOR COM SALDO'!BH106</f>
        <v>1.7500000000000002E-2</v>
      </c>
      <c r="BH107" s="209">
        <f>'SIMULADOR COM SALDO'!BI106</f>
        <v>72</v>
      </c>
      <c r="BI107" s="209" t="str">
        <f>'SIMULADOR COM SALDO'!BJ106</f>
        <v/>
      </c>
      <c r="BJ107" s="209">
        <f>'SIMULADOR COM SALDO'!BK106</f>
        <v>2</v>
      </c>
      <c r="BK107" s="209">
        <f>'SIMULADOR COM SALDO'!BL106</f>
        <v>5</v>
      </c>
      <c r="BL107" s="209">
        <f>'SIMULADOR COM SALDO'!BM106</f>
        <v>49</v>
      </c>
      <c r="BM107" s="209" t="str">
        <f>'SIMULADOR COM SALDO'!BN106</f>
        <v>RFN-MARINHA DIG PORTAB PLUS 3</v>
      </c>
      <c r="BN107" s="209">
        <f>'SIMULADOR COM SALDO'!BO106</f>
        <v>1.3</v>
      </c>
      <c r="BO107" s="209">
        <f>'SIMULADOR COM SALDO'!BP106</f>
        <v>1.3000000000000001E-2</v>
      </c>
      <c r="BP107" s="209">
        <f>'SIMULADOR COM SALDO'!BQ106</f>
        <v>2.5555500829245414E-2</v>
      </c>
      <c r="BQ107" s="209">
        <f>'SIMULADOR COM SALDO'!BR106</f>
        <v>2.1600000000000001E-2</v>
      </c>
      <c r="BR107" s="209">
        <f>'SIMULADOR COM SALDO'!BS106</f>
        <v>2.9999999999999997E-4</v>
      </c>
    </row>
    <row r="108" spans="2:70" hidden="1" x14ac:dyDescent="0.25">
      <c r="B108">
        <v>71</v>
      </c>
      <c r="C108" s="13">
        <f t="shared" ca="1" si="69"/>
        <v>47309</v>
      </c>
      <c r="D108" s="14">
        <f t="shared" si="71"/>
        <v>0</v>
      </c>
      <c r="E108" s="14">
        <f t="shared" si="70"/>
        <v>0</v>
      </c>
      <c r="F108" s="14">
        <f t="shared" si="70"/>
        <v>0</v>
      </c>
      <c r="G108" s="14">
        <f t="shared" si="70"/>
        <v>0</v>
      </c>
      <c r="H108" s="14">
        <f t="shared" si="70"/>
        <v>0</v>
      </c>
      <c r="I108" s="14">
        <f t="shared" si="70"/>
        <v>0</v>
      </c>
      <c r="J108" s="14">
        <f t="shared" si="70"/>
        <v>0</v>
      </c>
      <c r="K108" s="14">
        <f t="shared" si="70"/>
        <v>0</v>
      </c>
      <c r="L108" s="14">
        <f t="shared" si="70"/>
        <v>0</v>
      </c>
      <c r="M108" s="224">
        <f t="shared" si="70"/>
        <v>0</v>
      </c>
      <c r="P108" s="161">
        <v>93</v>
      </c>
      <c r="Q108" s="161">
        <f t="shared" si="48"/>
        <v>0</v>
      </c>
      <c r="R108" s="161">
        <f t="shared" si="60"/>
        <v>0</v>
      </c>
      <c r="S108" s="161">
        <f t="shared" si="61"/>
        <v>0</v>
      </c>
      <c r="T108" s="161">
        <f t="shared" si="62"/>
        <v>0</v>
      </c>
      <c r="U108" s="161">
        <f t="shared" si="63"/>
        <v>0</v>
      </c>
      <c r="V108" s="161">
        <f t="shared" si="64"/>
        <v>0</v>
      </c>
      <c r="W108" s="161">
        <f t="shared" si="65"/>
        <v>0</v>
      </c>
      <c r="X108" s="161">
        <f t="shared" si="66"/>
        <v>0</v>
      </c>
      <c r="Y108" s="161">
        <f t="shared" si="67"/>
        <v>0</v>
      </c>
      <c r="Z108" s="161">
        <f t="shared" si="68"/>
        <v>0</v>
      </c>
      <c r="AB108" s="168">
        <v>85</v>
      </c>
      <c r="AC108" s="213">
        <f t="shared" ref="AC108:AC167" ca="1" si="72">EDATE(AC107,1)</f>
        <v>47736</v>
      </c>
      <c r="AD108" s="214">
        <f t="shared" ref="AD108:AD167" si="73">SUM(Q100:Z100)</f>
        <v>0</v>
      </c>
      <c r="AE108" s="168"/>
      <c r="AF108" s="168">
        <v>85</v>
      </c>
      <c r="AG108" s="213">
        <f t="shared" ref="AG108:AG167" ca="1" si="74">EDATE(AG107,1)</f>
        <v>47736</v>
      </c>
      <c r="AH108" s="208">
        <f t="shared" si="57"/>
        <v>0</v>
      </c>
      <c r="AI108" s="215">
        <f t="shared" ca="1" si="51"/>
        <v>0</v>
      </c>
      <c r="AJ108" s="168">
        <v>85</v>
      </c>
      <c r="AK108" s="213">
        <f t="shared" ref="AK108:AK167" ca="1" si="75">EDATE(AK107,1)</f>
        <v>47736</v>
      </c>
      <c r="AL108" s="208">
        <f t="shared" si="59"/>
        <v>0</v>
      </c>
      <c r="AN108" s="168">
        <v>85</v>
      </c>
      <c r="AO108" s="189">
        <f t="shared" ca="1" si="52"/>
        <v>47736</v>
      </c>
      <c r="BC108" s="186" t="str">
        <f t="shared" si="53"/>
        <v>4MARINHA</v>
      </c>
      <c r="BD108" s="186">
        <f t="shared" si="54"/>
        <v>4</v>
      </c>
      <c r="BE108" s="209" t="str">
        <f>'SIMULADOR COM SALDO'!BF107</f>
        <v>MARINHA</v>
      </c>
      <c r="BF108" s="209" t="str">
        <f>'SIMULADOR COM SALDO'!BG107</f>
        <v>795357 - Tabela 4</v>
      </c>
      <c r="BG108" s="209">
        <f>'SIMULADOR COM SALDO'!BH107</f>
        <v>1.61E-2</v>
      </c>
      <c r="BH108" s="209">
        <f>'SIMULADOR COM SALDO'!BI107</f>
        <v>72</v>
      </c>
      <c r="BI108" s="209" t="str">
        <f>'SIMULADOR COM SALDO'!BJ107</f>
        <v/>
      </c>
      <c r="BJ108" s="209">
        <f>'SIMULADOR COM SALDO'!BK107</f>
        <v>2</v>
      </c>
      <c r="BK108" s="209">
        <f>'SIMULADOR COM SALDO'!BL107</f>
        <v>5</v>
      </c>
      <c r="BL108" s="209">
        <f>'SIMULADOR COM SALDO'!BM107</f>
        <v>49</v>
      </c>
      <c r="BM108" s="209" t="str">
        <f>'SIMULADOR COM SALDO'!BN107</f>
        <v>RFN-MARINHA DIG PORTAB PLUS 4</v>
      </c>
      <c r="BN108" s="209">
        <f>'SIMULADOR COM SALDO'!BO107</f>
        <v>1.3</v>
      </c>
      <c r="BO108" s="209">
        <f>'SIMULADOR COM SALDO'!BP107</f>
        <v>1.3000000000000001E-2</v>
      </c>
      <c r="BP108" s="209">
        <f>'SIMULADOR COM SALDO'!BQ107</f>
        <v>2.4517874204997007E-2</v>
      </c>
      <c r="BQ108" s="209">
        <f>'SIMULADOR COM SALDO'!BR107</f>
        <v>2.1600000000000001E-2</v>
      </c>
      <c r="BR108" s="209">
        <f>'SIMULADOR COM SALDO'!BS107</f>
        <v>2.9999999999999997E-4</v>
      </c>
    </row>
    <row r="109" spans="2:70" hidden="1" x14ac:dyDescent="0.25">
      <c r="B109">
        <v>72</v>
      </c>
      <c r="C109" s="13">
        <f t="shared" ca="1" si="69"/>
        <v>47340</v>
      </c>
      <c r="D109" s="14">
        <f t="shared" si="71"/>
        <v>0</v>
      </c>
      <c r="E109" s="14">
        <f t="shared" si="70"/>
        <v>0</v>
      </c>
      <c r="F109" s="14">
        <f t="shared" si="70"/>
        <v>0</v>
      </c>
      <c r="G109" s="14">
        <f t="shared" si="70"/>
        <v>0</v>
      </c>
      <c r="H109" s="14">
        <f t="shared" si="70"/>
        <v>0</v>
      </c>
      <c r="I109" s="14">
        <f t="shared" si="70"/>
        <v>0</v>
      </c>
      <c r="J109" s="14">
        <f t="shared" si="70"/>
        <v>0</v>
      </c>
      <c r="K109" s="14">
        <f t="shared" si="70"/>
        <v>0</v>
      </c>
      <c r="L109" s="14">
        <f t="shared" si="70"/>
        <v>0</v>
      </c>
      <c r="M109" s="224">
        <f t="shared" si="70"/>
        <v>0</v>
      </c>
      <c r="P109" s="161">
        <v>94</v>
      </c>
      <c r="Q109" s="161">
        <f t="shared" si="48"/>
        <v>0</v>
      </c>
      <c r="R109" s="161">
        <f t="shared" si="60"/>
        <v>0</v>
      </c>
      <c r="S109" s="161">
        <f t="shared" si="61"/>
        <v>0</v>
      </c>
      <c r="T109" s="161">
        <f t="shared" si="62"/>
        <v>0</v>
      </c>
      <c r="U109" s="161">
        <f t="shared" si="63"/>
        <v>0</v>
      </c>
      <c r="V109" s="161">
        <f t="shared" si="64"/>
        <v>0</v>
      </c>
      <c r="W109" s="161">
        <f t="shared" si="65"/>
        <v>0</v>
      </c>
      <c r="X109" s="161">
        <f t="shared" si="66"/>
        <v>0</v>
      </c>
      <c r="Y109" s="161">
        <f t="shared" si="67"/>
        <v>0</v>
      </c>
      <c r="Z109" s="161">
        <f t="shared" si="68"/>
        <v>0</v>
      </c>
      <c r="AB109" s="168">
        <v>86</v>
      </c>
      <c r="AC109" s="213">
        <f t="shared" ca="1" si="72"/>
        <v>47766</v>
      </c>
      <c r="AD109" s="214">
        <f t="shared" si="73"/>
        <v>0</v>
      </c>
      <c r="AE109" s="168"/>
      <c r="AF109" s="168">
        <v>86</v>
      </c>
      <c r="AG109" s="213">
        <f t="shared" ca="1" si="74"/>
        <v>47766</v>
      </c>
      <c r="AH109" s="208">
        <f t="shared" si="57"/>
        <v>0</v>
      </c>
      <c r="AI109" s="215">
        <f t="shared" ref="AI109:AI167" ca="1" si="76">AH109/(1+$AH$20)^((AG109-$AG$23)/30)</f>
        <v>0</v>
      </c>
      <c r="AJ109" s="168">
        <v>86</v>
      </c>
      <c r="AK109" s="213">
        <f t="shared" ca="1" si="75"/>
        <v>47766</v>
      </c>
      <c r="AL109" s="208">
        <f t="shared" si="59"/>
        <v>0</v>
      </c>
      <c r="AN109" s="168">
        <v>86</v>
      </c>
      <c r="AO109" s="189">
        <f t="shared" ca="1" si="52"/>
        <v>47766</v>
      </c>
      <c r="BC109" s="186" t="str">
        <f t="shared" si="53"/>
        <v>1PM FEIRA DE SAN</v>
      </c>
      <c r="BD109" s="186">
        <f t="shared" si="54"/>
        <v>1</v>
      </c>
      <c r="BE109" s="209" t="str">
        <f>'SIMULADOR COM SALDO'!BF108</f>
        <v>PM FEIRA DE SAN</v>
      </c>
      <c r="BF109" s="209" t="str">
        <f>'SIMULADOR COM SALDO'!BG108</f>
        <v>765051 - Tabela 1</v>
      </c>
      <c r="BG109" s="209">
        <f>'SIMULADOR COM SALDO'!BH108</f>
        <v>2.2499999999999999E-2</v>
      </c>
      <c r="BH109" s="209">
        <f>'SIMULADOR COM SALDO'!BI108</f>
        <v>120</v>
      </c>
      <c r="BI109" s="209" t="str">
        <f>'SIMULADOR COM SALDO'!BJ108</f>
        <v/>
      </c>
      <c r="BJ109" s="209">
        <f>'SIMULADOR COM SALDO'!BK108</f>
        <v>2.25</v>
      </c>
      <c r="BK109" s="209">
        <f>'SIMULADOR COM SALDO'!BL108</f>
        <v>10</v>
      </c>
      <c r="BL109" s="209">
        <f>'SIMULADOR COM SALDO'!BM108</f>
        <v>46</v>
      </c>
      <c r="BM109" s="209" t="str">
        <f>'SIMULADOR COM SALDO'!BN108</f>
        <v xml:space="preserve">RFN-PREF. FEIRA DE SANTANA DIG 1 PORTAB </v>
      </c>
      <c r="BN109" s="209" t="str">
        <f>'SIMULADOR COM SALDO'!BO108</f>
        <v>1,91</v>
      </c>
      <c r="BO109" s="209">
        <f>'SIMULADOR COM SALDO'!BP108</f>
        <v>1.9099999999999999E-2</v>
      </c>
      <c r="BP109" s="209">
        <f>'SIMULADOR COM SALDO'!BQ108</f>
        <v>2.52005963318883E-2</v>
      </c>
      <c r="BQ109" s="209">
        <f>'SIMULADOR COM SALDO'!BR108</f>
        <v>2.2499999999999999E-2</v>
      </c>
      <c r="BR109" s="209">
        <f>'SIMULADOR COM SALDO'!BS108</f>
        <v>2.9999999999999997E-4</v>
      </c>
    </row>
    <row r="110" spans="2:70" hidden="1" x14ac:dyDescent="0.25">
      <c r="B110">
        <v>73</v>
      </c>
      <c r="C110" s="13">
        <f t="shared" ca="1" si="69"/>
        <v>47371</v>
      </c>
      <c r="D110" s="14">
        <f t="shared" si="71"/>
        <v>0</v>
      </c>
      <c r="E110" s="14">
        <f t="shared" si="70"/>
        <v>0</v>
      </c>
      <c r="F110" s="14">
        <f t="shared" si="70"/>
        <v>0</v>
      </c>
      <c r="G110" s="14">
        <f t="shared" si="70"/>
        <v>0</v>
      </c>
      <c r="H110" s="14">
        <f t="shared" si="70"/>
        <v>0</v>
      </c>
      <c r="I110" s="14">
        <f t="shared" si="70"/>
        <v>0</v>
      </c>
      <c r="J110" s="14">
        <f t="shared" si="70"/>
        <v>0</v>
      </c>
      <c r="K110" s="14">
        <f t="shared" si="70"/>
        <v>0</v>
      </c>
      <c r="L110" s="14">
        <f t="shared" si="70"/>
        <v>0</v>
      </c>
      <c r="M110" s="224">
        <f t="shared" si="70"/>
        <v>0</v>
      </c>
      <c r="P110" s="161">
        <v>95</v>
      </c>
      <c r="Q110" s="161">
        <f t="shared" si="48"/>
        <v>0</v>
      </c>
      <c r="R110" s="161">
        <f t="shared" si="60"/>
        <v>0</v>
      </c>
      <c r="S110" s="161">
        <f t="shared" si="61"/>
        <v>0</v>
      </c>
      <c r="T110" s="161">
        <f t="shared" si="62"/>
        <v>0</v>
      </c>
      <c r="U110" s="161">
        <f t="shared" si="63"/>
        <v>0</v>
      </c>
      <c r="V110" s="161">
        <f t="shared" si="64"/>
        <v>0</v>
      </c>
      <c r="W110" s="161">
        <f t="shared" si="65"/>
        <v>0</v>
      </c>
      <c r="X110" s="161">
        <f t="shared" si="66"/>
        <v>0</v>
      </c>
      <c r="Y110" s="161">
        <f t="shared" si="67"/>
        <v>0</v>
      </c>
      <c r="Z110" s="161">
        <f t="shared" si="68"/>
        <v>0</v>
      </c>
      <c r="AB110" s="168">
        <v>87</v>
      </c>
      <c r="AC110" s="213">
        <f t="shared" ca="1" si="72"/>
        <v>47797</v>
      </c>
      <c r="AD110" s="214">
        <f t="shared" si="73"/>
        <v>0</v>
      </c>
      <c r="AE110" s="168"/>
      <c r="AF110" s="168">
        <v>87</v>
      </c>
      <c r="AG110" s="213">
        <f t="shared" ca="1" si="74"/>
        <v>47797</v>
      </c>
      <c r="AH110" s="208">
        <f t="shared" si="57"/>
        <v>0</v>
      </c>
      <c r="AI110" s="215">
        <f t="shared" ca="1" si="76"/>
        <v>0</v>
      </c>
      <c r="AJ110" s="168">
        <v>87</v>
      </c>
      <c r="AK110" s="213">
        <f t="shared" ca="1" si="75"/>
        <v>47797</v>
      </c>
      <c r="AL110" s="208">
        <f t="shared" si="59"/>
        <v>0</v>
      </c>
      <c r="AN110" s="168">
        <v>87</v>
      </c>
      <c r="AO110" s="189">
        <f t="shared" ca="1" si="52"/>
        <v>47797</v>
      </c>
      <c r="BC110" s="186" t="str">
        <f t="shared" si="53"/>
        <v>2PM FEIRA DE SAN</v>
      </c>
      <c r="BD110" s="186">
        <f t="shared" si="54"/>
        <v>2</v>
      </c>
      <c r="BE110" s="209" t="str">
        <f>'SIMULADOR COM SALDO'!BF109</f>
        <v>PM FEIRA DE SAN</v>
      </c>
      <c r="BF110" s="209" t="str">
        <f>'SIMULADOR COM SALDO'!BG109</f>
        <v>765052 - Tabela 2</v>
      </c>
      <c r="BG110" s="209">
        <f>'SIMULADOR COM SALDO'!BH109</f>
        <v>2.2000000000000002E-2</v>
      </c>
      <c r="BH110" s="209">
        <f>'SIMULADOR COM SALDO'!BI109</f>
        <v>120</v>
      </c>
      <c r="BI110" s="209" t="str">
        <f>'SIMULADOR COM SALDO'!BJ109</f>
        <v/>
      </c>
      <c r="BJ110" s="209">
        <f>'SIMULADOR COM SALDO'!BK109</f>
        <v>2.25</v>
      </c>
      <c r="BK110" s="209">
        <f>'SIMULADOR COM SALDO'!BL109</f>
        <v>10</v>
      </c>
      <c r="BL110" s="209">
        <f>'SIMULADOR COM SALDO'!BM109</f>
        <v>56</v>
      </c>
      <c r="BM110" s="209" t="str">
        <f>'SIMULADOR COM SALDO'!BN109</f>
        <v xml:space="preserve">RFN-PREF. FEIRA DE SANTANA DIG 2 PORTAB </v>
      </c>
      <c r="BN110" s="209" t="str">
        <f>'SIMULADOR COM SALDO'!BO109</f>
        <v>1,91</v>
      </c>
      <c r="BO110" s="209">
        <f>'SIMULADOR COM SALDO'!BP109</f>
        <v>1.9099999999999999E-2</v>
      </c>
      <c r="BP110" s="209">
        <f>'SIMULADOR COM SALDO'!BQ109</f>
        <v>2.4925600200052064E-2</v>
      </c>
      <c r="BQ110" s="209">
        <f>'SIMULADOR COM SALDO'!BR109</f>
        <v>2.2499999999999999E-2</v>
      </c>
      <c r="BR110" s="209">
        <f>'SIMULADOR COM SALDO'!BS109</f>
        <v>2.9999999999999997E-4</v>
      </c>
    </row>
    <row r="111" spans="2:70" hidden="1" x14ac:dyDescent="0.25">
      <c r="B111">
        <v>74</v>
      </c>
      <c r="C111" s="13">
        <f t="shared" ca="1" si="69"/>
        <v>47401</v>
      </c>
      <c r="D111" s="14">
        <f t="shared" si="71"/>
        <v>0</v>
      </c>
      <c r="E111" s="14">
        <f t="shared" si="70"/>
        <v>0</v>
      </c>
      <c r="F111" s="14">
        <f t="shared" si="70"/>
        <v>0</v>
      </c>
      <c r="G111" s="14">
        <f t="shared" si="70"/>
        <v>0</v>
      </c>
      <c r="H111" s="14">
        <f t="shared" si="70"/>
        <v>0</v>
      </c>
      <c r="I111" s="14">
        <f t="shared" si="70"/>
        <v>0</v>
      </c>
      <c r="J111" s="14">
        <f t="shared" si="70"/>
        <v>0</v>
      </c>
      <c r="K111" s="14">
        <f t="shared" si="70"/>
        <v>0</v>
      </c>
      <c r="L111" s="14">
        <f t="shared" si="70"/>
        <v>0</v>
      </c>
      <c r="M111" s="224">
        <f t="shared" si="70"/>
        <v>0</v>
      </c>
      <c r="P111" s="161">
        <v>96</v>
      </c>
      <c r="Q111" s="161">
        <f t="shared" si="48"/>
        <v>0</v>
      </c>
      <c r="R111" s="161">
        <f t="shared" si="60"/>
        <v>0</v>
      </c>
      <c r="S111" s="161">
        <f t="shared" si="61"/>
        <v>0</v>
      </c>
      <c r="T111" s="161">
        <f t="shared" si="62"/>
        <v>0</v>
      </c>
      <c r="U111" s="161">
        <f t="shared" si="63"/>
        <v>0</v>
      </c>
      <c r="V111" s="161">
        <f t="shared" si="64"/>
        <v>0</v>
      </c>
      <c r="W111" s="161">
        <f t="shared" si="65"/>
        <v>0</v>
      </c>
      <c r="X111" s="161">
        <f t="shared" si="66"/>
        <v>0</v>
      </c>
      <c r="Y111" s="161">
        <f t="shared" si="67"/>
        <v>0</v>
      </c>
      <c r="Z111" s="161">
        <f t="shared" si="68"/>
        <v>0</v>
      </c>
      <c r="AB111" s="168">
        <v>88</v>
      </c>
      <c r="AC111" s="213">
        <f t="shared" ca="1" si="72"/>
        <v>47827</v>
      </c>
      <c r="AD111" s="214">
        <f t="shared" si="73"/>
        <v>0</v>
      </c>
      <c r="AE111" s="168"/>
      <c r="AF111" s="168">
        <v>88</v>
      </c>
      <c r="AG111" s="213">
        <f t="shared" ca="1" si="74"/>
        <v>47827</v>
      </c>
      <c r="AH111" s="208">
        <f t="shared" si="57"/>
        <v>0</v>
      </c>
      <c r="AI111" s="215">
        <f t="shared" ca="1" si="76"/>
        <v>0</v>
      </c>
      <c r="AJ111" s="168">
        <v>88</v>
      </c>
      <c r="AK111" s="213">
        <f t="shared" ca="1" si="75"/>
        <v>47827</v>
      </c>
      <c r="AL111" s="208">
        <f t="shared" si="59"/>
        <v>0</v>
      </c>
      <c r="AN111" s="168">
        <v>88</v>
      </c>
      <c r="AO111" s="189">
        <f t="shared" ca="1" si="52"/>
        <v>47827</v>
      </c>
      <c r="BC111" s="186" t="str">
        <f t="shared" si="53"/>
        <v>3PM FEIRA DE SAN</v>
      </c>
      <c r="BD111" s="186">
        <f t="shared" si="54"/>
        <v>3</v>
      </c>
      <c r="BE111" s="209" t="str">
        <f>'SIMULADOR COM SALDO'!BF110</f>
        <v>PM FEIRA DE SAN</v>
      </c>
      <c r="BF111" s="209" t="str">
        <f>'SIMULADOR COM SALDO'!BG110</f>
        <v>765053 - Tabela 3</v>
      </c>
      <c r="BG111" s="209">
        <f>'SIMULADOR COM SALDO'!BH110</f>
        <v>2.1600000000000001E-2</v>
      </c>
      <c r="BH111" s="209">
        <f>'SIMULADOR COM SALDO'!BI110</f>
        <v>120</v>
      </c>
      <c r="BI111" s="209" t="str">
        <f>'SIMULADOR COM SALDO'!BJ110</f>
        <v/>
      </c>
      <c r="BJ111" s="209">
        <f>'SIMULADOR COM SALDO'!BK110</f>
        <v>2.25</v>
      </c>
      <c r="BK111" s="209">
        <f>'SIMULADOR COM SALDO'!BL110</f>
        <v>10</v>
      </c>
      <c r="BL111" s="209">
        <f>'SIMULADOR COM SALDO'!BM110</f>
        <v>46</v>
      </c>
      <c r="BM111" s="209" t="str">
        <f>'SIMULADOR COM SALDO'!BN110</f>
        <v xml:space="preserve">RFN-PREF. FEIRA DE SANTANA DIG 3 PORTAB </v>
      </c>
      <c r="BN111" s="209" t="str">
        <f>'SIMULADOR COM SALDO'!BO110</f>
        <v>1,91</v>
      </c>
      <c r="BO111" s="209">
        <f>'SIMULADOR COM SALDO'!BP110</f>
        <v>1.9099999999999999E-2</v>
      </c>
      <c r="BP111" s="209">
        <f>'SIMULADOR COM SALDO'!BQ110</f>
        <v>2.4383404135088223E-2</v>
      </c>
      <c r="BQ111" s="209">
        <f>'SIMULADOR COM SALDO'!BR110</f>
        <v>2.2499999999999999E-2</v>
      </c>
      <c r="BR111" s="209">
        <f>'SIMULADOR COM SALDO'!BS110</f>
        <v>2.9999999999999997E-4</v>
      </c>
    </row>
    <row r="112" spans="2:70" hidden="1" x14ac:dyDescent="0.25">
      <c r="B112">
        <v>75</v>
      </c>
      <c r="C112" s="13">
        <f t="shared" ca="1" si="69"/>
        <v>47432</v>
      </c>
      <c r="D112" s="14">
        <f t="shared" si="71"/>
        <v>0</v>
      </c>
      <c r="E112" s="14">
        <f t="shared" si="70"/>
        <v>0</v>
      </c>
      <c r="F112" s="14">
        <f t="shared" si="70"/>
        <v>0</v>
      </c>
      <c r="G112" s="14">
        <f t="shared" si="70"/>
        <v>0</v>
      </c>
      <c r="H112" s="14">
        <f t="shared" si="70"/>
        <v>0</v>
      </c>
      <c r="I112" s="14">
        <f t="shared" si="70"/>
        <v>0</v>
      </c>
      <c r="J112" s="14">
        <f t="shared" si="70"/>
        <v>0</v>
      </c>
      <c r="K112" s="14">
        <f t="shared" si="70"/>
        <v>0</v>
      </c>
      <c r="L112" s="14">
        <f t="shared" si="70"/>
        <v>0</v>
      </c>
      <c r="M112" s="224">
        <f t="shared" si="70"/>
        <v>0</v>
      </c>
      <c r="P112" s="161">
        <v>97</v>
      </c>
      <c r="Q112" s="161">
        <f t="shared" si="48"/>
        <v>0</v>
      </c>
      <c r="R112" s="161">
        <f t="shared" si="60"/>
        <v>0</v>
      </c>
      <c r="S112" s="161">
        <f t="shared" si="61"/>
        <v>0</v>
      </c>
      <c r="T112" s="161">
        <f t="shared" si="62"/>
        <v>0</v>
      </c>
      <c r="U112" s="161">
        <f t="shared" si="63"/>
        <v>0</v>
      </c>
      <c r="V112" s="161">
        <f t="shared" si="64"/>
        <v>0</v>
      </c>
      <c r="W112" s="161">
        <f t="shared" si="65"/>
        <v>0</v>
      </c>
      <c r="X112" s="161">
        <f t="shared" si="66"/>
        <v>0</v>
      </c>
      <c r="Y112" s="161">
        <f t="shared" si="67"/>
        <v>0</v>
      </c>
      <c r="Z112" s="161">
        <f t="shared" si="68"/>
        <v>0</v>
      </c>
      <c r="AB112" s="168">
        <v>89</v>
      </c>
      <c r="AC112" s="213">
        <f t="shared" ca="1" si="72"/>
        <v>47858</v>
      </c>
      <c r="AD112" s="214">
        <f t="shared" si="73"/>
        <v>0</v>
      </c>
      <c r="AE112" s="168"/>
      <c r="AF112" s="168">
        <v>89</v>
      </c>
      <c r="AG112" s="213">
        <f t="shared" ca="1" si="74"/>
        <v>47858</v>
      </c>
      <c r="AH112" s="208">
        <f t="shared" si="57"/>
        <v>0</v>
      </c>
      <c r="AI112" s="215">
        <f t="shared" ca="1" si="76"/>
        <v>0</v>
      </c>
      <c r="AJ112" s="168">
        <v>89</v>
      </c>
      <c r="AK112" s="213">
        <f t="shared" ca="1" si="75"/>
        <v>47858</v>
      </c>
      <c r="AL112" s="208">
        <f t="shared" si="59"/>
        <v>0</v>
      </c>
      <c r="AN112" s="168">
        <v>89</v>
      </c>
      <c r="AO112" s="189">
        <f t="shared" ca="1" si="52"/>
        <v>47858</v>
      </c>
      <c r="BC112" s="186" t="str">
        <f t="shared" si="53"/>
        <v>1PM MG</v>
      </c>
      <c r="BD112" s="186">
        <f t="shared" si="54"/>
        <v>1</v>
      </c>
      <c r="BE112" s="209" t="str">
        <f>'SIMULADOR COM SALDO'!BF111</f>
        <v>PM MG</v>
      </c>
      <c r="BF112" s="209" t="str">
        <f>'SIMULADOR COM SALDO'!BG111</f>
        <v>765621 - Tabela 1</v>
      </c>
      <c r="BG112" s="209">
        <f>'SIMULADOR COM SALDO'!BH111</f>
        <v>2.1499999999999998E-2</v>
      </c>
      <c r="BH112" s="209">
        <f>'SIMULADOR COM SALDO'!BI111</f>
        <v>120</v>
      </c>
      <c r="BI112" s="209" t="str">
        <f>'SIMULADOR COM SALDO'!BJ111</f>
        <v/>
      </c>
      <c r="BJ112" s="209">
        <f>'SIMULADOR COM SALDO'!BK111</f>
        <v>2.4</v>
      </c>
      <c r="BK112" s="209">
        <f>'SIMULADOR COM SALDO'!BL111</f>
        <v>7</v>
      </c>
      <c r="BL112" s="209">
        <f>'SIMULADOR COM SALDO'!BM111</f>
        <v>51</v>
      </c>
      <c r="BM112" s="209" t="str">
        <f>'SIMULADOR COM SALDO'!BN111</f>
        <v>RFN - POLICIA 1 DIG PORTABILIDADE</v>
      </c>
      <c r="BN112" s="209" t="str">
        <f>'SIMULADOR COM SALDO'!BO111</f>
        <v>1,64</v>
      </c>
      <c r="BO112" s="209">
        <f>'SIMULADOR COM SALDO'!BP111</f>
        <v>1.6399999999999998E-2</v>
      </c>
      <c r="BP112" s="209">
        <f>'SIMULADOR COM SALDO'!BQ111</f>
        <v>2.4379466859599245E-2</v>
      </c>
      <c r="BQ112" s="209">
        <f>'SIMULADOR COM SALDO'!BR111</f>
        <v>2.4E-2</v>
      </c>
      <c r="BR112" s="209">
        <f>'SIMULADOR COM SALDO'!BS111</f>
        <v>2.9999999999999997E-4</v>
      </c>
    </row>
    <row r="113" spans="2:70" hidden="1" x14ac:dyDescent="0.25">
      <c r="B113">
        <v>76</v>
      </c>
      <c r="C113" s="13">
        <f t="shared" ca="1" si="69"/>
        <v>47462</v>
      </c>
      <c r="D113" s="14">
        <f t="shared" si="71"/>
        <v>0</v>
      </c>
      <c r="E113" s="14">
        <f t="shared" si="70"/>
        <v>0</v>
      </c>
      <c r="F113" s="14">
        <f t="shared" si="70"/>
        <v>0</v>
      </c>
      <c r="G113" s="14">
        <f t="shared" si="70"/>
        <v>0</v>
      </c>
      <c r="H113" s="14">
        <f t="shared" si="70"/>
        <v>0</v>
      </c>
      <c r="I113" s="14">
        <f t="shared" si="70"/>
        <v>0</v>
      </c>
      <c r="J113" s="14">
        <f t="shared" si="70"/>
        <v>0</v>
      </c>
      <c r="K113" s="14">
        <f t="shared" si="70"/>
        <v>0</v>
      </c>
      <c r="L113" s="14">
        <f t="shared" si="70"/>
        <v>0</v>
      </c>
      <c r="M113" s="224">
        <f t="shared" si="70"/>
        <v>0</v>
      </c>
      <c r="P113" s="161">
        <v>98</v>
      </c>
      <c r="Q113" s="161">
        <f t="shared" si="48"/>
        <v>0</v>
      </c>
      <c r="R113" s="161">
        <f t="shared" si="60"/>
        <v>0</v>
      </c>
      <c r="S113" s="161">
        <f t="shared" si="61"/>
        <v>0</v>
      </c>
      <c r="T113" s="161">
        <f t="shared" si="62"/>
        <v>0</v>
      </c>
      <c r="U113" s="161">
        <f t="shared" si="63"/>
        <v>0</v>
      </c>
      <c r="V113" s="161">
        <f t="shared" si="64"/>
        <v>0</v>
      </c>
      <c r="W113" s="161">
        <f t="shared" si="65"/>
        <v>0</v>
      </c>
      <c r="X113" s="161">
        <f t="shared" si="66"/>
        <v>0</v>
      </c>
      <c r="Y113" s="161">
        <f t="shared" si="67"/>
        <v>0</v>
      </c>
      <c r="Z113" s="161">
        <f t="shared" si="68"/>
        <v>0</v>
      </c>
      <c r="AB113" s="168">
        <v>90</v>
      </c>
      <c r="AC113" s="213">
        <f t="shared" ca="1" si="72"/>
        <v>47889</v>
      </c>
      <c r="AD113" s="214">
        <f t="shared" si="73"/>
        <v>0</v>
      </c>
      <c r="AE113" s="168"/>
      <c r="AF113" s="168">
        <v>90</v>
      </c>
      <c r="AG113" s="213">
        <f t="shared" ca="1" si="74"/>
        <v>47889</v>
      </c>
      <c r="AH113" s="208">
        <f t="shared" si="57"/>
        <v>0</v>
      </c>
      <c r="AI113" s="215">
        <f t="shared" ca="1" si="76"/>
        <v>0</v>
      </c>
      <c r="AJ113" s="168">
        <v>90</v>
      </c>
      <c r="AK113" s="213">
        <f t="shared" ca="1" si="75"/>
        <v>47889</v>
      </c>
      <c r="AL113" s="208">
        <f t="shared" si="59"/>
        <v>0</v>
      </c>
      <c r="AN113" s="168">
        <v>90</v>
      </c>
      <c r="AO113" s="189">
        <f t="shared" ca="1" si="52"/>
        <v>47889</v>
      </c>
      <c r="BC113" s="186" t="str">
        <f t="shared" si="53"/>
        <v>2PM MG</v>
      </c>
      <c r="BD113" s="186">
        <f t="shared" si="54"/>
        <v>2</v>
      </c>
      <c r="BE113" s="209" t="str">
        <f>'SIMULADOR COM SALDO'!BF112</f>
        <v>PM MG</v>
      </c>
      <c r="BF113" s="209" t="str">
        <f>'SIMULADOR COM SALDO'!BG112</f>
        <v>765622 - Tabela 2</v>
      </c>
      <c r="BG113" s="209">
        <f>'SIMULADOR COM SALDO'!BH112</f>
        <v>2.0499999999999997E-2</v>
      </c>
      <c r="BH113" s="209">
        <f>'SIMULADOR COM SALDO'!BI112</f>
        <v>120</v>
      </c>
      <c r="BI113" s="209" t="str">
        <f>'SIMULADOR COM SALDO'!BJ112</f>
        <v/>
      </c>
      <c r="BJ113" s="209">
        <f>'SIMULADOR COM SALDO'!BK112</f>
        <v>2.4</v>
      </c>
      <c r="BK113" s="209">
        <f>'SIMULADOR COM SALDO'!BL112</f>
        <v>7</v>
      </c>
      <c r="BL113" s="209">
        <f>'SIMULADOR COM SALDO'!BM112</f>
        <v>49</v>
      </c>
      <c r="BM113" s="209" t="str">
        <f>'SIMULADOR COM SALDO'!BN112</f>
        <v>RFN - POLICIA 2 DIG PORTABILIDADE</v>
      </c>
      <c r="BN113" s="209" t="str">
        <f>'SIMULADOR COM SALDO'!BO112</f>
        <v>1,64</v>
      </c>
      <c r="BO113" s="209">
        <f>'SIMULADOR COM SALDO'!BP112</f>
        <v>1.6399999999999998E-2</v>
      </c>
      <c r="BP113" s="209">
        <f>'SIMULADOR COM SALDO'!BQ112</f>
        <v>2.3445138177855103E-2</v>
      </c>
      <c r="BQ113" s="209">
        <f>'SIMULADOR COM SALDO'!BR112</f>
        <v>2.4E-2</v>
      </c>
      <c r="BR113" s="209">
        <f>'SIMULADOR COM SALDO'!BS112</f>
        <v>2.9999999999999997E-4</v>
      </c>
    </row>
    <row r="114" spans="2:70" hidden="1" x14ac:dyDescent="0.25">
      <c r="B114">
        <v>77</v>
      </c>
      <c r="C114" s="13">
        <f t="shared" ca="1" si="69"/>
        <v>47493</v>
      </c>
      <c r="D114" s="14">
        <f t="shared" si="71"/>
        <v>0</v>
      </c>
      <c r="E114" s="14">
        <f t="shared" si="70"/>
        <v>0</v>
      </c>
      <c r="F114" s="14">
        <f t="shared" si="70"/>
        <v>0</v>
      </c>
      <c r="G114" s="14">
        <f t="shared" si="70"/>
        <v>0</v>
      </c>
      <c r="H114" s="14">
        <f t="shared" si="70"/>
        <v>0</v>
      </c>
      <c r="I114" s="14">
        <f t="shared" si="70"/>
        <v>0</v>
      </c>
      <c r="J114" s="14">
        <f t="shared" si="70"/>
        <v>0</v>
      </c>
      <c r="K114" s="14">
        <f t="shared" si="70"/>
        <v>0</v>
      </c>
      <c r="L114" s="14">
        <f t="shared" si="70"/>
        <v>0</v>
      </c>
      <c r="M114" s="224">
        <f t="shared" si="70"/>
        <v>0</v>
      </c>
      <c r="P114" s="161">
        <v>99</v>
      </c>
      <c r="Q114" s="161">
        <f t="shared" si="48"/>
        <v>0</v>
      </c>
      <c r="R114" s="161">
        <f t="shared" si="60"/>
        <v>0</v>
      </c>
      <c r="S114" s="161">
        <f t="shared" si="61"/>
        <v>0</v>
      </c>
      <c r="T114" s="161">
        <f t="shared" si="62"/>
        <v>0</v>
      </c>
      <c r="U114" s="161">
        <f t="shared" si="63"/>
        <v>0</v>
      </c>
      <c r="V114" s="161">
        <f t="shared" si="64"/>
        <v>0</v>
      </c>
      <c r="W114" s="161">
        <f t="shared" si="65"/>
        <v>0</v>
      </c>
      <c r="X114" s="161">
        <f t="shared" si="66"/>
        <v>0</v>
      </c>
      <c r="Y114" s="161">
        <f t="shared" si="67"/>
        <v>0</v>
      </c>
      <c r="Z114" s="161">
        <f t="shared" si="68"/>
        <v>0</v>
      </c>
      <c r="AB114" s="168">
        <v>91</v>
      </c>
      <c r="AC114" s="213">
        <f t="shared" ca="1" si="72"/>
        <v>47917</v>
      </c>
      <c r="AD114" s="214">
        <f t="shared" si="73"/>
        <v>0</v>
      </c>
      <c r="AF114" s="168">
        <v>91</v>
      </c>
      <c r="AG114" s="213">
        <f t="shared" ca="1" si="74"/>
        <v>47917</v>
      </c>
      <c r="AH114" s="208">
        <f t="shared" si="57"/>
        <v>0</v>
      </c>
      <c r="AI114" s="215">
        <f t="shared" ca="1" si="76"/>
        <v>0</v>
      </c>
      <c r="AJ114" s="168">
        <v>91</v>
      </c>
      <c r="AK114" s="213">
        <f t="shared" ca="1" si="75"/>
        <v>47917</v>
      </c>
      <c r="AL114" s="208">
        <f t="shared" si="59"/>
        <v>0</v>
      </c>
      <c r="AN114" s="168">
        <v>91</v>
      </c>
      <c r="AO114" s="189">
        <f t="shared" ca="1" si="52"/>
        <v>47917</v>
      </c>
      <c r="BC114" s="186" t="str">
        <f t="shared" si="53"/>
        <v>3PM MG</v>
      </c>
      <c r="BD114" s="186">
        <f t="shared" si="54"/>
        <v>3</v>
      </c>
      <c r="BE114" s="209" t="str">
        <f>'SIMULADOR COM SALDO'!BF113</f>
        <v>PM MG</v>
      </c>
      <c r="BF114" s="209" t="str">
        <f>'SIMULADOR COM SALDO'!BG113</f>
        <v>765623 - Tabela 3</v>
      </c>
      <c r="BG114" s="209">
        <f>'SIMULADOR COM SALDO'!BH113</f>
        <v>1.9400000000000001E-2</v>
      </c>
      <c r="BH114" s="209">
        <f>'SIMULADOR COM SALDO'!BI113</f>
        <v>120</v>
      </c>
      <c r="BI114" s="209" t="str">
        <f>'SIMULADOR COM SALDO'!BJ113</f>
        <v/>
      </c>
      <c r="BJ114" s="209">
        <f>'SIMULADOR COM SALDO'!BK113</f>
        <v>2.4</v>
      </c>
      <c r="BK114" s="209">
        <f>'SIMULADOR COM SALDO'!BL113</f>
        <v>7</v>
      </c>
      <c r="BL114" s="209">
        <f>'SIMULADOR COM SALDO'!BM113</f>
        <v>42</v>
      </c>
      <c r="BM114" s="209" t="str">
        <f>'SIMULADOR COM SALDO'!BN113</f>
        <v>RFN - POLICIA 3 DIG PORTABILIDADE</v>
      </c>
      <c r="BN114" s="209" t="str">
        <f>'SIMULADOR COM SALDO'!BO113</f>
        <v>1,64</v>
      </c>
      <c r="BO114" s="209">
        <f>'SIMULADOR COM SALDO'!BP113</f>
        <v>1.6399999999999998E-2</v>
      </c>
      <c r="BP114" s="209">
        <f>'SIMULADOR COM SALDO'!BQ113</f>
        <v>2.2369466123937257E-2</v>
      </c>
      <c r="BQ114" s="209">
        <f>'SIMULADOR COM SALDO'!BR113</f>
        <v>2.4E-2</v>
      </c>
      <c r="BR114" s="209">
        <f>'SIMULADOR COM SALDO'!BS113</f>
        <v>2.9999999999999997E-4</v>
      </c>
    </row>
    <row r="115" spans="2:70" hidden="1" x14ac:dyDescent="0.25">
      <c r="B115">
        <v>78</v>
      </c>
      <c r="C115" s="13">
        <f t="shared" ca="1" si="69"/>
        <v>47524</v>
      </c>
      <c r="D115" s="14">
        <f t="shared" si="71"/>
        <v>0</v>
      </c>
      <c r="E115" s="14">
        <f t="shared" si="70"/>
        <v>0</v>
      </c>
      <c r="F115" s="14">
        <f t="shared" si="70"/>
        <v>0</v>
      </c>
      <c r="G115" s="14">
        <f t="shared" si="70"/>
        <v>0</v>
      </c>
      <c r="H115" s="14">
        <f t="shared" si="70"/>
        <v>0</v>
      </c>
      <c r="I115" s="14">
        <f t="shared" si="70"/>
        <v>0</v>
      </c>
      <c r="J115" s="14">
        <f t="shared" si="70"/>
        <v>0</v>
      </c>
      <c r="K115" s="14">
        <f t="shared" si="70"/>
        <v>0</v>
      </c>
      <c r="L115" s="14">
        <f t="shared" si="70"/>
        <v>0</v>
      </c>
      <c r="M115" s="224">
        <f t="shared" si="70"/>
        <v>0</v>
      </c>
      <c r="P115" s="161">
        <v>100</v>
      </c>
      <c r="Q115" s="161">
        <f t="shared" si="48"/>
        <v>0</v>
      </c>
      <c r="R115" s="161">
        <f t="shared" si="60"/>
        <v>0</v>
      </c>
      <c r="S115" s="161">
        <f t="shared" si="61"/>
        <v>0</v>
      </c>
      <c r="T115" s="161">
        <f t="shared" si="62"/>
        <v>0</v>
      </c>
      <c r="U115" s="161">
        <f t="shared" si="63"/>
        <v>0</v>
      </c>
      <c r="V115" s="161">
        <f t="shared" si="64"/>
        <v>0</v>
      </c>
      <c r="W115" s="161">
        <f t="shared" si="65"/>
        <v>0</v>
      </c>
      <c r="X115" s="161">
        <f t="shared" si="66"/>
        <v>0</v>
      </c>
      <c r="Y115" s="161">
        <f t="shared" si="67"/>
        <v>0</v>
      </c>
      <c r="Z115" s="161">
        <f t="shared" si="68"/>
        <v>0</v>
      </c>
      <c r="AB115" s="168">
        <v>92</v>
      </c>
      <c r="AC115" s="213">
        <f t="shared" ca="1" si="72"/>
        <v>47948</v>
      </c>
      <c r="AD115" s="214">
        <f t="shared" si="73"/>
        <v>0</v>
      </c>
      <c r="AF115" s="168">
        <v>92</v>
      </c>
      <c r="AG115" s="213">
        <f t="shared" ca="1" si="74"/>
        <v>47948</v>
      </c>
      <c r="AH115" s="208">
        <f t="shared" si="57"/>
        <v>0</v>
      </c>
      <c r="AI115" s="215">
        <f t="shared" ca="1" si="76"/>
        <v>0</v>
      </c>
      <c r="AJ115" s="168">
        <v>92</v>
      </c>
      <c r="AK115" s="213">
        <f t="shared" ca="1" si="75"/>
        <v>47948</v>
      </c>
      <c r="AL115" s="208">
        <f t="shared" si="59"/>
        <v>0</v>
      </c>
      <c r="AN115" s="168">
        <v>92</v>
      </c>
      <c r="AO115" s="189">
        <f t="shared" ca="1" si="52"/>
        <v>47948</v>
      </c>
      <c r="BC115" s="186" t="str">
        <f t="shared" si="53"/>
        <v>4PM MG</v>
      </c>
      <c r="BD115" s="186">
        <f t="shared" si="54"/>
        <v>4</v>
      </c>
      <c r="BE115" s="209" t="str">
        <f>'SIMULADOR COM SALDO'!BF114</f>
        <v>PM MG</v>
      </c>
      <c r="BF115" s="209" t="str">
        <f>'SIMULADOR COM SALDO'!BG114</f>
        <v>765624 - Tabela 4</v>
      </c>
      <c r="BG115" s="209">
        <f>'SIMULADOR COM SALDO'!BH114</f>
        <v>1.7899999999999999E-2</v>
      </c>
      <c r="BH115" s="209">
        <f>'SIMULADOR COM SALDO'!BI114</f>
        <v>120</v>
      </c>
      <c r="BI115" s="209" t="str">
        <f>'SIMULADOR COM SALDO'!BJ114</f>
        <v/>
      </c>
      <c r="BJ115" s="209">
        <f>'SIMULADOR COM SALDO'!BK114</f>
        <v>2.4</v>
      </c>
      <c r="BK115" s="209">
        <f>'SIMULADOR COM SALDO'!BL114</f>
        <v>7</v>
      </c>
      <c r="BL115" s="209">
        <f>'SIMULADOR COM SALDO'!BM114</f>
        <v>51</v>
      </c>
      <c r="BM115" s="209" t="str">
        <f>'SIMULADOR COM SALDO'!BN114</f>
        <v>RFN - POLICIA 4 DIG PORTABILIDADE</v>
      </c>
      <c r="BN115" s="209" t="str">
        <f>'SIMULADOR COM SALDO'!BO114</f>
        <v>1,64</v>
      </c>
      <c r="BO115" s="209">
        <f>'SIMULADOR COM SALDO'!BP114</f>
        <v>1.6399999999999998E-2</v>
      </c>
      <c r="BP115" s="209">
        <f>'SIMULADOR COM SALDO'!BQ114</f>
        <v>2.1191314714692593E-2</v>
      </c>
      <c r="BQ115" s="209">
        <f>'SIMULADOR COM SALDO'!BR114</f>
        <v>2.4E-2</v>
      </c>
      <c r="BR115" s="209">
        <f>'SIMULADOR COM SALDO'!BS114</f>
        <v>2.9999999999999997E-4</v>
      </c>
    </row>
    <row r="116" spans="2:70" hidden="1" x14ac:dyDescent="0.25">
      <c r="B116">
        <v>79</v>
      </c>
      <c r="C116" s="13">
        <f t="shared" ca="1" si="69"/>
        <v>47552</v>
      </c>
      <c r="D116" s="14">
        <f t="shared" si="71"/>
        <v>0</v>
      </c>
      <c r="E116" s="14">
        <f t="shared" si="70"/>
        <v>0</v>
      </c>
      <c r="F116" s="14">
        <f t="shared" si="70"/>
        <v>0</v>
      </c>
      <c r="G116" s="14">
        <f t="shared" si="70"/>
        <v>0</v>
      </c>
      <c r="H116" s="14">
        <f t="shared" si="70"/>
        <v>0</v>
      </c>
      <c r="I116" s="14">
        <f t="shared" si="70"/>
        <v>0</v>
      </c>
      <c r="J116" s="14">
        <f t="shared" si="70"/>
        <v>0</v>
      </c>
      <c r="K116" s="14">
        <f t="shared" si="70"/>
        <v>0</v>
      </c>
      <c r="L116" s="14">
        <f t="shared" si="70"/>
        <v>0</v>
      </c>
      <c r="M116" s="224">
        <f t="shared" si="70"/>
        <v>0</v>
      </c>
      <c r="P116" s="161">
        <v>101</v>
      </c>
      <c r="Q116" s="161">
        <f t="shared" si="48"/>
        <v>0</v>
      </c>
      <c r="R116" s="161">
        <f t="shared" si="60"/>
        <v>0</v>
      </c>
      <c r="S116" s="161">
        <f t="shared" si="61"/>
        <v>0</v>
      </c>
      <c r="T116" s="161">
        <f t="shared" si="62"/>
        <v>0</v>
      </c>
      <c r="U116" s="161">
        <f t="shared" si="63"/>
        <v>0</v>
      </c>
      <c r="V116" s="161">
        <f t="shared" si="64"/>
        <v>0</v>
      </c>
      <c r="W116" s="161">
        <f t="shared" si="65"/>
        <v>0</v>
      </c>
      <c r="X116" s="161">
        <f t="shared" si="66"/>
        <v>0</v>
      </c>
      <c r="Y116" s="161">
        <f t="shared" si="67"/>
        <v>0</v>
      </c>
      <c r="Z116" s="161">
        <f t="shared" si="68"/>
        <v>0</v>
      </c>
      <c r="AB116" s="168">
        <v>93</v>
      </c>
      <c r="AC116" s="213">
        <f t="shared" ca="1" si="72"/>
        <v>47978</v>
      </c>
      <c r="AD116" s="214">
        <f t="shared" si="73"/>
        <v>0</v>
      </c>
      <c r="AF116" s="168">
        <v>93</v>
      </c>
      <c r="AG116" s="213">
        <f t="shared" ca="1" si="74"/>
        <v>47978</v>
      </c>
      <c r="AH116" s="208">
        <f t="shared" si="57"/>
        <v>0</v>
      </c>
      <c r="AI116" s="215">
        <f t="shared" ca="1" si="76"/>
        <v>0</v>
      </c>
      <c r="AJ116" s="168">
        <v>93</v>
      </c>
      <c r="AK116" s="213">
        <f t="shared" ca="1" si="75"/>
        <v>47978</v>
      </c>
      <c r="AL116" s="208">
        <f t="shared" si="59"/>
        <v>0</v>
      </c>
      <c r="AN116" s="168">
        <v>93</v>
      </c>
      <c r="AO116" s="189">
        <f t="shared" ca="1" si="52"/>
        <v>47978</v>
      </c>
      <c r="BC116" s="186" t="str">
        <f t="shared" si="53"/>
        <v>1PREF ARACAJU</v>
      </c>
      <c r="BD116" s="186">
        <f t="shared" si="54"/>
        <v>1</v>
      </c>
      <c r="BE116" s="209" t="str">
        <f>'SIMULADOR COM SALDO'!BF115</f>
        <v>PREF ARACAJU</v>
      </c>
      <c r="BF116" s="209" t="str">
        <f>'SIMULADOR COM SALDO'!BG115</f>
        <v>705328 - Tabela 5</v>
      </c>
      <c r="BG116" s="209">
        <f>'SIMULADOR COM SALDO'!BH115</f>
        <v>2.1899999999999999E-2</v>
      </c>
      <c r="BH116" s="209">
        <f>'SIMULADOR COM SALDO'!BI115</f>
        <v>120</v>
      </c>
      <c r="BI116" s="209" t="str">
        <f>'SIMULADOR COM SALDO'!BJ115</f>
        <v/>
      </c>
      <c r="BJ116" s="209">
        <f>'SIMULADOR COM SALDO'!BK115</f>
        <v>2.5</v>
      </c>
      <c r="BK116" s="209">
        <f>'SIMULADOR COM SALDO'!BL115</f>
        <v>25</v>
      </c>
      <c r="BL116" s="209">
        <f>'SIMULADOR COM SALDO'!BM115</f>
        <v>59</v>
      </c>
      <c r="BM116" s="209" t="str">
        <f>'SIMULADOR COM SALDO'!BN115</f>
        <v>RFN - PREF ARACAJU PORTAB 5 DIG PLUS</v>
      </c>
      <c r="BN116" s="209" t="str">
        <f>'SIMULADOR COM SALDO'!BO115</f>
        <v>1,94</v>
      </c>
      <c r="BO116" s="209">
        <f>'SIMULADOR COM SALDO'!BP115</f>
        <v>1.9400000000000001E-2</v>
      </c>
      <c r="BP116" s="209">
        <f>'SIMULADOR COM SALDO'!BQ115</f>
        <v>2.4887300938004023E-2</v>
      </c>
      <c r="BQ116" s="209">
        <f>'SIMULADOR COM SALDO'!BR115</f>
        <v>2.5000000000000001E-2</v>
      </c>
      <c r="BR116" s="209">
        <f>'SIMULADOR COM SALDO'!BS115</f>
        <v>2.9999999999999997E-4</v>
      </c>
    </row>
    <row r="117" spans="2:70" hidden="1" x14ac:dyDescent="0.25">
      <c r="B117">
        <v>80</v>
      </c>
      <c r="C117" s="13">
        <f t="shared" ca="1" si="69"/>
        <v>47583</v>
      </c>
      <c r="D117" s="14">
        <f t="shared" si="71"/>
        <v>0</v>
      </c>
      <c r="E117" s="14">
        <f t="shared" si="70"/>
        <v>0</v>
      </c>
      <c r="F117" s="14">
        <f t="shared" si="70"/>
        <v>0</v>
      </c>
      <c r="G117" s="14">
        <f t="shared" si="70"/>
        <v>0</v>
      </c>
      <c r="H117" s="14">
        <f t="shared" si="70"/>
        <v>0</v>
      </c>
      <c r="I117" s="14">
        <f t="shared" si="70"/>
        <v>0</v>
      </c>
      <c r="J117" s="14">
        <f t="shared" si="70"/>
        <v>0</v>
      </c>
      <c r="K117" s="14">
        <f t="shared" si="70"/>
        <v>0</v>
      </c>
      <c r="L117" s="14">
        <f t="shared" si="70"/>
        <v>0</v>
      </c>
      <c r="M117" s="224">
        <f t="shared" si="70"/>
        <v>0</v>
      </c>
      <c r="P117" s="161">
        <v>102</v>
      </c>
      <c r="Q117" s="161">
        <f t="shared" si="48"/>
        <v>0</v>
      </c>
      <c r="R117" s="161">
        <f t="shared" si="60"/>
        <v>0</v>
      </c>
      <c r="S117" s="161">
        <f t="shared" si="61"/>
        <v>0</v>
      </c>
      <c r="T117" s="161">
        <f t="shared" si="62"/>
        <v>0</v>
      </c>
      <c r="U117" s="161">
        <f t="shared" si="63"/>
        <v>0</v>
      </c>
      <c r="V117" s="161">
        <f t="shared" si="64"/>
        <v>0</v>
      </c>
      <c r="W117" s="161">
        <f t="shared" si="65"/>
        <v>0</v>
      </c>
      <c r="X117" s="161">
        <f t="shared" si="66"/>
        <v>0</v>
      </c>
      <c r="Y117" s="161">
        <f t="shared" si="67"/>
        <v>0</v>
      </c>
      <c r="Z117" s="161">
        <f t="shared" si="68"/>
        <v>0</v>
      </c>
      <c r="AB117" s="168">
        <v>94</v>
      </c>
      <c r="AC117" s="213">
        <f t="shared" ca="1" si="72"/>
        <v>48009</v>
      </c>
      <c r="AD117" s="214">
        <f t="shared" si="73"/>
        <v>0</v>
      </c>
      <c r="AF117" s="168">
        <v>94</v>
      </c>
      <c r="AG117" s="213">
        <f t="shared" ca="1" si="74"/>
        <v>48009</v>
      </c>
      <c r="AH117" s="208">
        <f t="shared" si="57"/>
        <v>0</v>
      </c>
      <c r="AI117" s="215">
        <f t="shared" ca="1" si="76"/>
        <v>0</v>
      </c>
      <c r="AJ117" s="168">
        <v>94</v>
      </c>
      <c r="AK117" s="213">
        <f t="shared" ca="1" si="75"/>
        <v>48009</v>
      </c>
      <c r="AL117" s="208">
        <f t="shared" si="59"/>
        <v>0</v>
      </c>
      <c r="AN117" s="168">
        <v>94</v>
      </c>
      <c r="AO117" s="189">
        <f t="shared" ca="1" si="52"/>
        <v>48009</v>
      </c>
      <c r="BC117" s="186" t="str">
        <f t="shared" si="53"/>
        <v>1PREF BOA VISTA</v>
      </c>
      <c r="BD117" s="186">
        <f t="shared" si="54"/>
        <v>1</v>
      </c>
      <c r="BE117" s="209" t="str">
        <f>'SIMULADOR COM SALDO'!BF116</f>
        <v>PREF BOA VISTA</v>
      </c>
      <c r="BF117" s="209" t="str">
        <f>'SIMULADOR COM SALDO'!BG116</f>
        <v>765101 - Tabela 1</v>
      </c>
      <c r="BG117" s="209">
        <f>'SIMULADOR COM SALDO'!BH116</f>
        <v>2.2499999999999999E-2</v>
      </c>
      <c r="BH117" s="209">
        <f>'SIMULADOR COM SALDO'!BI116</f>
        <v>96</v>
      </c>
      <c r="BI117" s="209" t="str">
        <f>'SIMULADOR COM SALDO'!BJ116</f>
        <v/>
      </c>
      <c r="BJ117" s="209">
        <f>'SIMULADOR COM SALDO'!BK116</f>
        <v>2.5</v>
      </c>
      <c r="BK117" s="209">
        <f>'SIMULADOR COM SALDO'!BL116</f>
        <v>15</v>
      </c>
      <c r="BL117" s="209">
        <f>'SIMULADOR COM SALDO'!BM116</f>
        <v>59</v>
      </c>
      <c r="BM117" s="209" t="str">
        <f>'SIMULADOR COM SALDO'!BN116</f>
        <v>RFN - PREF DE BOA VISTA PORTAB 1 DIG</v>
      </c>
      <c r="BN117" s="209" t="str">
        <f>'SIMULADOR COM SALDO'!BO116</f>
        <v>1,9</v>
      </c>
      <c r="BO117" s="209">
        <f>'SIMULADOR COM SALDO'!BP116</f>
        <v>1.9E-2</v>
      </c>
      <c r="BP117" s="209">
        <f>'SIMULADOR COM SALDO'!BQ116</f>
        <v>2.6854859396136726E-2</v>
      </c>
      <c r="BQ117" s="209">
        <f>'SIMULADOR COM SALDO'!BR116</f>
        <v>2.5000000000000001E-2</v>
      </c>
      <c r="BR117" s="209">
        <f>'SIMULADOR COM SALDO'!BS116</f>
        <v>2.9999999999999997E-4</v>
      </c>
    </row>
    <row r="118" spans="2:70" hidden="1" x14ac:dyDescent="0.25">
      <c r="B118">
        <v>81</v>
      </c>
      <c r="C118" s="13">
        <f t="shared" ca="1" si="69"/>
        <v>47613</v>
      </c>
      <c r="D118" s="14">
        <f t="shared" si="71"/>
        <v>0</v>
      </c>
      <c r="E118" s="14">
        <f t="shared" ref="E118:M133" si="77">IF($B118&lt;=E$20,E$17/(($C$36+1)^(($C118-$C$37)/30)),0)</f>
        <v>0</v>
      </c>
      <c r="F118" s="14">
        <f t="shared" si="77"/>
        <v>0</v>
      </c>
      <c r="G118" s="14">
        <f t="shared" si="77"/>
        <v>0</v>
      </c>
      <c r="H118" s="14">
        <f t="shared" si="77"/>
        <v>0</v>
      </c>
      <c r="I118" s="14">
        <f t="shared" si="77"/>
        <v>0</v>
      </c>
      <c r="J118" s="14">
        <f t="shared" si="77"/>
        <v>0</v>
      </c>
      <c r="K118" s="14">
        <f t="shared" si="77"/>
        <v>0</v>
      </c>
      <c r="L118" s="14">
        <f t="shared" si="77"/>
        <v>0</v>
      </c>
      <c r="M118" s="224">
        <f t="shared" si="77"/>
        <v>0</v>
      </c>
      <c r="P118" s="161">
        <v>103</v>
      </c>
      <c r="Q118" s="161">
        <f t="shared" si="48"/>
        <v>0</v>
      </c>
      <c r="R118" s="161">
        <f t="shared" si="60"/>
        <v>0</v>
      </c>
      <c r="S118" s="161">
        <f t="shared" si="61"/>
        <v>0</v>
      </c>
      <c r="T118" s="161">
        <f t="shared" si="62"/>
        <v>0</v>
      </c>
      <c r="U118" s="161">
        <f t="shared" si="63"/>
        <v>0</v>
      </c>
      <c r="V118" s="161">
        <f t="shared" si="64"/>
        <v>0</v>
      </c>
      <c r="W118" s="161">
        <f t="shared" si="65"/>
        <v>0</v>
      </c>
      <c r="X118" s="161">
        <f t="shared" si="66"/>
        <v>0</v>
      </c>
      <c r="Y118" s="161">
        <f t="shared" si="67"/>
        <v>0</v>
      </c>
      <c r="Z118" s="161">
        <f t="shared" si="68"/>
        <v>0</v>
      </c>
      <c r="AB118" s="168">
        <v>95</v>
      </c>
      <c r="AC118" s="213">
        <f t="shared" ca="1" si="72"/>
        <v>48039</v>
      </c>
      <c r="AD118" s="214">
        <f t="shared" si="73"/>
        <v>0</v>
      </c>
      <c r="AF118" s="168">
        <v>95</v>
      </c>
      <c r="AG118" s="213">
        <f t="shared" ca="1" si="74"/>
        <v>48039</v>
      </c>
      <c r="AH118" s="208">
        <f t="shared" si="57"/>
        <v>0</v>
      </c>
      <c r="AI118" s="215">
        <f t="shared" ca="1" si="76"/>
        <v>0</v>
      </c>
      <c r="AJ118" s="168">
        <v>95</v>
      </c>
      <c r="AK118" s="213">
        <f t="shared" ca="1" si="75"/>
        <v>48039</v>
      </c>
      <c r="AL118" s="208">
        <f t="shared" si="59"/>
        <v>0</v>
      </c>
      <c r="AN118" s="168">
        <v>95</v>
      </c>
      <c r="AO118" s="189">
        <f t="shared" ca="1" si="52"/>
        <v>48039</v>
      </c>
      <c r="BC118" s="186" t="str">
        <f t="shared" si="53"/>
        <v>2PREF BOA VISTA</v>
      </c>
      <c r="BD118" s="186">
        <f t="shared" si="54"/>
        <v>2</v>
      </c>
      <c r="BE118" s="209" t="str">
        <f>'SIMULADOR COM SALDO'!BF117</f>
        <v>PREF BOA VISTA</v>
      </c>
      <c r="BF118" s="209" t="str">
        <f>'SIMULADOR COM SALDO'!BG117</f>
        <v>765102 - Tabela 2</v>
      </c>
      <c r="BG118" s="209">
        <f>'SIMULADOR COM SALDO'!BH117</f>
        <v>2.1499999999999998E-2</v>
      </c>
      <c r="BH118" s="209">
        <f>'SIMULADOR COM SALDO'!BI117</f>
        <v>96</v>
      </c>
      <c r="BI118" s="209" t="str">
        <f>'SIMULADOR COM SALDO'!BJ117</f>
        <v/>
      </c>
      <c r="BJ118" s="209">
        <f>'SIMULADOR COM SALDO'!BK117</f>
        <v>2.5</v>
      </c>
      <c r="BK118" s="209">
        <f>'SIMULADOR COM SALDO'!BL117</f>
        <v>15</v>
      </c>
      <c r="BL118" s="209">
        <f>'SIMULADOR COM SALDO'!BM117</f>
        <v>64</v>
      </c>
      <c r="BM118" s="209" t="str">
        <f>'SIMULADOR COM SALDO'!BN117</f>
        <v>RFN - PREF DE BOA VISTA PORTAB 2 DIG</v>
      </c>
      <c r="BN118" s="209" t="str">
        <f>'SIMULADOR COM SALDO'!BO117</f>
        <v>1,9</v>
      </c>
      <c r="BO118" s="209">
        <f>'SIMULADOR COM SALDO'!BP117</f>
        <v>1.9E-2</v>
      </c>
      <c r="BP118" s="209">
        <f>'SIMULADOR COM SALDO'!BQ117</f>
        <v>2.6072028675259314E-2</v>
      </c>
      <c r="BQ118" s="209">
        <f>'SIMULADOR COM SALDO'!BR117</f>
        <v>2.5000000000000001E-2</v>
      </c>
      <c r="BR118" s="209">
        <f>'SIMULADOR COM SALDO'!BS117</f>
        <v>2.9999999999999997E-4</v>
      </c>
    </row>
    <row r="119" spans="2:70" hidden="1" x14ac:dyDescent="0.25">
      <c r="B119">
        <v>82</v>
      </c>
      <c r="C119" s="13">
        <f t="shared" ca="1" si="69"/>
        <v>47644</v>
      </c>
      <c r="D119" s="14">
        <f t="shared" si="71"/>
        <v>0</v>
      </c>
      <c r="E119" s="14">
        <f t="shared" si="77"/>
        <v>0</v>
      </c>
      <c r="F119" s="14">
        <f t="shared" si="77"/>
        <v>0</v>
      </c>
      <c r="G119" s="14">
        <f t="shared" si="77"/>
        <v>0</v>
      </c>
      <c r="H119" s="14">
        <f t="shared" si="77"/>
        <v>0</v>
      </c>
      <c r="I119" s="14">
        <f t="shared" si="77"/>
        <v>0</v>
      </c>
      <c r="J119" s="14">
        <f t="shared" si="77"/>
        <v>0</v>
      </c>
      <c r="K119" s="14">
        <f t="shared" si="77"/>
        <v>0</v>
      </c>
      <c r="L119" s="14">
        <f t="shared" si="77"/>
        <v>0</v>
      </c>
      <c r="M119" s="224">
        <f t="shared" si="77"/>
        <v>0</v>
      </c>
      <c r="P119" s="161">
        <v>104</v>
      </c>
      <c r="Q119" s="161">
        <f t="shared" si="48"/>
        <v>0</v>
      </c>
      <c r="R119" s="161">
        <f t="shared" si="60"/>
        <v>0</v>
      </c>
      <c r="S119" s="161">
        <f t="shared" si="61"/>
        <v>0</v>
      </c>
      <c r="T119" s="161">
        <f t="shared" si="62"/>
        <v>0</v>
      </c>
      <c r="U119" s="161">
        <f t="shared" si="63"/>
        <v>0</v>
      </c>
      <c r="V119" s="161">
        <f t="shared" si="64"/>
        <v>0</v>
      </c>
      <c r="W119" s="161">
        <f t="shared" si="65"/>
        <v>0</v>
      </c>
      <c r="X119" s="161">
        <f t="shared" si="66"/>
        <v>0</v>
      </c>
      <c r="Y119" s="161">
        <f t="shared" si="67"/>
        <v>0</v>
      </c>
      <c r="Z119" s="161">
        <f t="shared" si="68"/>
        <v>0</v>
      </c>
      <c r="AB119" s="168">
        <v>96</v>
      </c>
      <c r="AC119" s="213">
        <f t="shared" ca="1" si="72"/>
        <v>48070</v>
      </c>
      <c r="AD119" s="214">
        <f t="shared" si="73"/>
        <v>0</v>
      </c>
      <c r="AF119" s="168">
        <v>96</v>
      </c>
      <c r="AG119" s="213">
        <f t="shared" ca="1" si="74"/>
        <v>48070</v>
      </c>
      <c r="AH119" s="208">
        <f t="shared" si="57"/>
        <v>0</v>
      </c>
      <c r="AI119" s="215">
        <f t="shared" ca="1" si="76"/>
        <v>0</v>
      </c>
      <c r="AJ119" s="168">
        <v>96</v>
      </c>
      <c r="AK119" s="213">
        <f t="shared" ca="1" si="75"/>
        <v>48070</v>
      </c>
      <c r="AL119" s="208">
        <f t="shared" si="59"/>
        <v>0</v>
      </c>
      <c r="AN119" s="168">
        <v>96</v>
      </c>
      <c r="AO119" s="189">
        <f t="shared" ca="1" si="52"/>
        <v>48070</v>
      </c>
      <c r="BC119" s="186" t="str">
        <f t="shared" si="53"/>
        <v>1PREF C GRANDE</v>
      </c>
      <c r="BD119" s="186">
        <f t="shared" si="54"/>
        <v>1</v>
      </c>
      <c r="BE119" s="209" t="str">
        <f>'SIMULADOR COM SALDO'!BF118</f>
        <v>PREF C GRANDE</v>
      </c>
      <c r="BF119" s="209" t="str">
        <f>'SIMULADOR COM SALDO'!BG118</f>
        <v>215000 - Tabela 1</v>
      </c>
      <c r="BG119" s="209">
        <f>'SIMULADOR COM SALDO'!BH118</f>
        <v>2.1000000000000001E-2</v>
      </c>
      <c r="BH119" s="209">
        <f>'SIMULADOR COM SALDO'!BI118</f>
        <v>120</v>
      </c>
      <c r="BI119" s="209" t="str">
        <f>'SIMULADOR COM SALDO'!BJ118</f>
        <v/>
      </c>
      <c r="BJ119" s="209">
        <f>'SIMULADOR COM SALDO'!BK118</f>
        <v>2.1</v>
      </c>
      <c r="BK119" s="209">
        <f>'SIMULADOR COM SALDO'!BL118</f>
        <v>20</v>
      </c>
      <c r="BL119" s="209">
        <f>'SIMULADOR COM SALDO'!BM118</f>
        <v>50</v>
      </c>
      <c r="BM119" s="209" t="str">
        <f>'SIMULADOR COM SALDO'!BN118</f>
        <v>RFN - PREF CAMPO GRANDE PORTAB 1 DIG</v>
      </c>
      <c r="BN119" s="209" t="str">
        <f>'SIMULADOR COM SALDO'!BO118</f>
        <v>1,8</v>
      </c>
      <c r="BO119" s="209">
        <f>'SIMULADOR COM SALDO'!BP118</f>
        <v>1.8000000000000002E-2</v>
      </c>
      <c r="BP119" s="209">
        <f>'SIMULADOR COM SALDO'!BQ118</f>
        <v>2.3910045247216138E-2</v>
      </c>
      <c r="BQ119" s="209">
        <f>'SIMULADOR COM SALDO'!BR118</f>
        <v>2.1000000000000001E-2</v>
      </c>
      <c r="BR119" s="209">
        <f>'SIMULADOR COM SALDO'!BS118</f>
        <v>2.9999999999999997E-4</v>
      </c>
    </row>
    <row r="120" spans="2:70" hidden="1" x14ac:dyDescent="0.25">
      <c r="B120">
        <v>83</v>
      </c>
      <c r="C120" s="13">
        <f t="shared" ca="1" si="69"/>
        <v>47674</v>
      </c>
      <c r="D120" s="14">
        <f t="shared" si="71"/>
        <v>0</v>
      </c>
      <c r="E120" s="14">
        <f t="shared" si="77"/>
        <v>0</v>
      </c>
      <c r="F120" s="14">
        <f t="shared" si="77"/>
        <v>0</v>
      </c>
      <c r="G120" s="14">
        <f t="shared" si="77"/>
        <v>0</v>
      </c>
      <c r="H120" s="14">
        <f t="shared" si="77"/>
        <v>0</v>
      </c>
      <c r="I120" s="14">
        <f t="shared" si="77"/>
        <v>0</v>
      </c>
      <c r="J120" s="14">
        <f t="shared" si="77"/>
        <v>0</v>
      </c>
      <c r="K120" s="14">
        <f t="shared" si="77"/>
        <v>0</v>
      </c>
      <c r="L120" s="14">
        <f t="shared" si="77"/>
        <v>0</v>
      </c>
      <c r="M120" s="224">
        <f t="shared" si="77"/>
        <v>0</v>
      </c>
      <c r="P120" s="161">
        <v>105</v>
      </c>
      <c r="Q120" s="161">
        <f t="shared" si="48"/>
        <v>0</v>
      </c>
      <c r="R120" s="161">
        <f t="shared" si="60"/>
        <v>0</v>
      </c>
      <c r="S120" s="161">
        <f t="shared" si="61"/>
        <v>0</v>
      </c>
      <c r="T120" s="161">
        <f t="shared" si="62"/>
        <v>0</v>
      </c>
      <c r="U120" s="161">
        <f t="shared" si="63"/>
        <v>0</v>
      </c>
      <c r="V120" s="161">
        <f t="shared" si="64"/>
        <v>0</v>
      </c>
      <c r="W120" s="161">
        <f t="shared" si="65"/>
        <v>0</v>
      </c>
      <c r="X120" s="161">
        <f t="shared" si="66"/>
        <v>0</v>
      </c>
      <c r="Y120" s="161">
        <f t="shared" si="67"/>
        <v>0</v>
      </c>
      <c r="Z120" s="161">
        <f t="shared" si="68"/>
        <v>0</v>
      </c>
      <c r="AB120" s="168">
        <v>97</v>
      </c>
      <c r="AC120" s="213">
        <f t="shared" ca="1" si="72"/>
        <v>48101</v>
      </c>
      <c r="AD120" s="214">
        <f t="shared" si="73"/>
        <v>0</v>
      </c>
      <c r="AF120" s="168">
        <v>97</v>
      </c>
      <c r="AG120" s="213">
        <f t="shared" ca="1" si="74"/>
        <v>48101</v>
      </c>
      <c r="AH120" s="208">
        <f t="shared" si="57"/>
        <v>0</v>
      </c>
      <c r="AI120" s="215">
        <f t="shared" ca="1" si="76"/>
        <v>0</v>
      </c>
      <c r="AJ120" s="168">
        <v>97</v>
      </c>
      <c r="AK120" s="213">
        <f t="shared" ca="1" si="75"/>
        <v>48101</v>
      </c>
      <c r="AL120" s="208">
        <f t="shared" si="59"/>
        <v>0</v>
      </c>
      <c r="BC120" s="186" t="str">
        <f t="shared" ref="BC120:BC151" si="78">CONCATENATE(BD120,BE120)</f>
        <v>1PREF CAMAÇARI</v>
      </c>
      <c r="BD120" s="186">
        <f t="shared" ref="BD120:BD151" si="79">IF(BE120=BE119,BD119+1,1)</f>
        <v>1</v>
      </c>
      <c r="BE120" s="209" t="str">
        <f>'SIMULADOR COM SALDO'!BF119</f>
        <v>PREF CAMAÇARI</v>
      </c>
      <c r="BF120" s="209" t="str">
        <f>'SIMULADOR COM SALDO'!BG119</f>
        <v>881108 - Tabela 5</v>
      </c>
      <c r="BG120" s="209">
        <f>'SIMULADOR COM SALDO'!BH119</f>
        <v>2.2499999999999999E-2</v>
      </c>
      <c r="BH120" s="209">
        <f>'SIMULADOR COM SALDO'!BI119</f>
        <v>120</v>
      </c>
      <c r="BI120" s="209" t="str">
        <f>'SIMULADOR COM SALDO'!BJ119</f>
        <v/>
      </c>
      <c r="BJ120" s="209">
        <f>'SIMULADOR COM SALDO'!BK119</f>
        <v>2.5</v>
      </c>
      <c r="BK120" s="209">
        <f>'SIMULADOR COM SALDO'!BL119</f>
        <v>10</v>
      </c>
      <c r="BL120" s="209">
        <f>'SIMULADOR COM SALDO'!BM119</f>
        <v>46</v>
      </c>
      <c r="BM120" s="209" t="str">
        <f>'SIMULADOR COM SALDO'!BN119</f>
        <v>RFN - PREF CAMAÇARI PORTAB 5 DIG</v>
      </c>
      <c r="BN120" s="209" t="str">
        <f>'SIMULADOR COM SALDO'!BO119</f>
        <v>2</v>
      </c>
      <c r="BO120" s="209">
        <f>'SIMULADOR COM SALDO'!BP119</f>
        <v>0.02</v>
      </c>
      <c r="BP120" s="209">
        <f>'SIMULADOR COM SALDO'!BQ119</f>
        <v>2.52005963318883E-2</v>
      </c>
      <c r="BQ120" s="209">
        <f>'SIMULADOR COM SALDO'!BR119</f>
        <v>2.5000000000000001E-2</v>
      </c>
      <c r="BR120" s="209">
        <f>'SIMULADOR COM SALDO'!BS119</f>
        <v>2.9999999999999997E-4</v>
      </c>
    </row>
    <row r="121" spans="2:70" hidden="1" x14ac:dyDescent="0.25">
      <c r="B121">
        <v>84</v>
      </c>
      <c r="C121" s="13">
        <f t="shared" ca="1" si="69"/>
        <v>47705</v>
      </c>
      <c r="D121" s="14">
        <f t="shared" si="71"/>
        <v>0</v>
      </c>
      <c r="E121" s="14">
        <f t="shared" si="77"/>
        <v>0</v>
      </c>
      <c r="F121" s="14">
        <f t="shared" si="77"/>
        <v>0</v>
      </c>
      <c r="G121" s="14">
        <f t="shared" si="77"/>
        <v>0</v>
      </c>
      <c r="H121" s="14">
        <f t="shared" si="77"/>
        <v>0</v>
      </c>
      <c r="I121" s="14">
        <f t="shared" si="77"/>
        <v>0</v>
      </c>
      <c r="J121" s="14">
        <f t="shared" si="77"/>
        <v>0</v>
      </c>
      <c r="K121" s="14">
        <f t="shared" si="77"/>
        <v>0</v>
      </c>
      <c r="L121" s="14">
        <f t="shared" si="77"/>
        <v>0</v>
      </c>
      <c r="M121" s="224">
        <f t="shared" si="77"/>
        <v>0</v>
      </c>
      <c r="P121" s="161">
        <v>106</v>
      </c>
      <c r="Q121" s="161">
        <f t="shared" si="48"/>
        <v>0</v>
      </c>
      <c r="R121" s="161">
        <f t="shared" si="60"/>
        <v>0</v>
      </c>
      <c r="S121" s="161">
        <f t="shared" si="61"/>
        <v>0</v>
      </c>
      <c r="T121" s="161">
        <f t="shared" si="62"/>
        <v>0</v>
      </c>
      <c r="U121" s="161">
        <f t="shared" si="63"/>
        <v>0</v>
      </c>
      <c r="V121" s="161">
        <f t="shared" si="64"/>
        <v>0</v>
      </c>
      <c r="W121" s="161">
        <f t="shared" si="65"/>
        <v>0</v>
      </c>
      <c r="X121" s="161">
        <f t="shared" si="66"/>
        <v>0</v>
      </c>
      <c r="Y121" s="161">
        <f t="shared" si="67"/>
        <v>0</v>
      </c>
      <c r="Z121" s="161">
        <f t="shared" si="68"/>
        <v>0</v>
      </c>
      <c r="AB121" s="168">
        <v>98</v>
      </c>
      <c r="AC121" s="213">
        <f t="shared" ca="1" si="72"/>
        <v>48131</v>
      </c>
      <c r="AD121" s="214">
        <f t="shared" si="73"/>
        <v>0</v>
      </c>
      <c r="AF121" s="168">
        <v>98</v>
      </c>
      <c r="AG121" s="213">
        <f t="shared" ca="1" si="74"/>
        <v>48131</v>
      </c>
      <c r="AH121" s="208">
        <f t="shared" si="57"/>
        <v>0</v>
      </c>
      <c r="AI121" s="215">
        <f t="shared" ca="1" si="76"/>
        <v>0</v>
      </c>
      <c r="AJ121" s="168">
        <v>98</v>
      </c>
      <c r="AK121" s="213">
        <f t="shared" ca="1" si="75"/>
        <v>48131</v>
      </c>
      <c r="AL121" s="208">
        <f t="shared" si="59"/>
        <v>0</v>
      </c>
      <c r="BC121" s="186" t="str">
        <f t="shared" si="78"/>
        <v>1PREF CUIABA</v>
      </c>
      <c r="BD121" s="186">
        <f t="shared" si="79"/>
        <v>1</v>
      </c>
      <c r="BE121" s="209" t="str">
        <f>'SIMULADOR COM SALDO'!BF120</f>
        <v>PREF CUIABA</v>
      </c>
      <c r="BF121" s="209" t="str">
        <f>'SIMULADOR COM SALDO'!BG120</f>
        <v>715171 - Tabela 1</v>
      </c>
      <c r="BG121" s="209">
        <f>'SIMULADOR COM SALDO'!BH120</f>
        <v>1.9E-2</v>
      </c>
      <c r="BH121" s="209">
        <f>'SIMULADOR COM SALDO'!BI120</f>
        <v>120</v>
      </c>
      <c r="BI121" s="209" t="str">
        <f>'SIMULADOR COM SALDO'!BJ120</f>
        <v/>
      </c>
      <c r="BJ121" s="209">
        <f>'SIMULADOR COM SALDO'!BK120</f>
        <v>2.2000000000000002</v>
      </c>
      <c r="BK121" s="209">
        <f>'SIMULADOR COM SALDO'!BL120</f>
        <v>30</v>
      </c>
      <c r="BL121" s="209">
        <f>'SIMULADOR COM SALDO'!BM120</f>
        <v>69</v>
      </c>
      <c r="BM121" s="209" t="str">
        <f>'SIMULADOR COM SALDO'!BN120</f>
        <v>RFN - PREF CUIABA DIG 1 PORTAB</v>
      </c>
      <c r="BN121" s="209" t="str">
        <f>'SIMULADOR COM SALDO'!BO120</f>
        <v>1,65</v>
      </c>
      <c r="BO121" s="209">
        <f>'SIMULADOR COM SALDO'!BP120</f>
        <v>1.6500000000000001E-2</v>
      </c>
      <c r="BP121" s="209">
        <f>'SIMULADOR COM SALDO'!BQ120</f>
        <v>2.2398617049905378E-2</v>
      </c>
      <c r="BQ121" s="209">
        <f>'SIMULADOR COM SALDO'!BR120</f>
        <v>2.2000000000000002E-2</v>
      </c>
      <c r="BR121" s="209">
        <f>'SIMULADOR COM SALDO'!BS120</f>
        <v>2.9999999999999997E-4</v>
      </c>
    </row>
    <row r="122" spans="2:70" hidden="1" x14ac:dyDescent="0.25">
      <c r="B122">
        <v>85</v>
      </c>
      <c r="C122" s="13">
        <f t="shared" ref="C122:C181" ca="1" si="80">AC108</f>
        <v>47736</v>
      </c>
      <c r="D122" s="14">
        <f t="shared" si="71"/>
        <v>0</v>
      </c>
      <c r="E122" s="14">
        <f t="shared" si="77"/>
        <v>0</v>
      </c>
      <c r="F122" s="14">
        <f t="shared" si="77"/>
        <v>0</v>
      </c>
      <c r="G122" s="14">
        <f t="shared" si="77"/>
        <v>0</v>
      </c>
      <c r="H122" s="14">
        <f t="shared" si="77"/>
        <v>0</v>
      </c>
      <c r="I122" s="14">
        <f t="shared" si="77"/>
        <v>0</v>
      </c>
      <c r="J122" s="14">
        <f t="shared" si="77"/>
        <v>0</v>
      </c>
      <c r="K122" s="14">
        <f t="shared" si="77"/>
        <v>0</v>
      </c>
      <c r="L122" s="14">
        <f t="shared" si="77"/>
        <v>0</v>
      </c>
      <c r="M122" s="224">
        <f t="shared" si="77"/>
        <v>0</v>
      </c>
      <c r="P122" s="161">
        <v>107</v>
      </c>
      <c r="Q122" s="161">
        <f t="shared" si="48"/>
        <v>0</v>
      </c>
      <c r="R122" s="161">
        <f t="shared" si="60"/>
        <v>0</v>
      </c>
      <c r="S122" s="161">
        <f t="shared" si="61"/>
        <v>0</v>
      </c>
      <c r="T122" s="161">
        <f t="shared" si="62"/>
        <v>0</v>
      </c>
      <c r="U122" s="161">
        <f t="shared" si="63"/>
        <v>0</v>
      </c>
      <c r="V122" s="161">
        <f t="shared" si="64"/>
        <v>0</v>
      </c>
      <c r="W122" s="161">
        <f t="shared" si="65"/>
        <v>0</v>
      </c>
      <c r="X122" s="161">
        <f t="shared" si="66"/>
        <v>0</v>
      </c>
      <c r="Y122" s="161">
        <f t="shared" si="67"/>
        <v>0</v>
      </c>
      <c r="Z122" s="161">
        <f t="shared" si="68"/>
        <v>0</v>
      </c>
      <c r="AB122" s="168">
        <v>99</v>
      </c>
      <c r="AC122" s="213">
        <f t="shared" ca="1" si="72"/>
        <v>48162</v>
      </c>
      <c r="AD122" s="214">
        <f t="shared" si="73"/>
        <v>0</v>
      </c>
      <c r="AF122" s="168">
        <v>99</v>
      </c>
      <c r="AG122" s="213">
        <f t="shared" ca="1" si="74"/>
        <v>48162</v>
      </c>
      <c r="AH122" s="208">
        <f t="shared" si="57"/>
        <v>0</v>
      </c>
      <c r="AI122" s="215">
        <f t="shared" ca="1" si="76"/>
        <v>0</v>
      </c>
      <c r="AJ122" s="168">
        <v>99</v>
      </c>
      <c r="AK122" s="213">
        <f t="shared" ca="1" si="75"/>
        <v>48162</v>
      </c>
      <c r="AL122" s="208">
        <f t="shared" si="59"/>
        <v>0</v>
      </c>
      <c r="BC122" s="186" t="str">
        <f t="shared" si="78"/>
        <v>1PREF FLORIANOPO</v>
      </c>
      <c r="BD122" s="186">
        <f t="shared" si="79"/>
        <v>1</v>
      </c>
      <c r="BE122" s="209" t="str">
        <f>'SIMULADOR COM SALDO'!BF121</f>
        <v>PREF FLORIANOPO</v>
      </c>
      <c r="BF122" s="209" t="str">
        <f>'SIMULADOR COM SALDO'!BG121</f>
        <v>745096 - Tabela 1</v>
      </c>
      <c r="BG122" s="209">
        <f>'SIMULADOR COM SALDO'!BH121</f>
        <v>1.9E-2</v>
      </c>
      <c r="BH122" s="209">
        <f>'SIMULADOR COM SALDO'!BI121</f>
        <v>120</v>
      </c>
      <c r="BI122" s="209" t="str">
        <f>'SIMULADOR COM SALDO'!BJ121</f>
        <v/>
      </c>
      <c r="BJ122" s="209">
        <f>'SIMULADOR COM SALDO'!BK121</f>
        <v>2.1</v>
      </c>
      <c r="BK122" s="209">
        <f>'SIMULADOR COM SALDO'!BL121</f>
        <v>10</v>
      </c>
      <c r="BL122" s="209">
        <f>'SIMULADOR COM SALDO'!BM121</f>
        <v>40</v>
      </c>
      <c r="BM122" s="209" t="str">
        <f>'SIMULADOR COM SALDO'!BN121</f>
        <v>RFN - PREF FLORIPA PORTAB 1 DIG</v>
      </c>
      <c r="BN122" s="209" t="str">
        <f>'SIMULADOR COM SALDO'!BO121</f>
        <v>1,4</v>
      </c>
      <c r="BO122" s="209">
        <f>'SIMULADOR COM SALDO'!BP121</f>
        <v>1.3999999999999999E-2</v>
      </c>
      <c r="BP122" s="209">
        <f>'SIMULADOR COM SALDO'!BQ121</f>
        <v>2.1994773471985002E-2</v>
      </c>
      <c r="BQ122" s="209">
        <f>'SIMULADOR COM SALDO'!BR121</f>
        <v>2.1000000000000001E-2</v>
      </c>
      <c r="BR122" s="209">
        <f>'SIMULADOR COM SALDO'!BS121</f>
        <v>2.9999999999999997E-4</v>
      </c>
    </row>
    <row r="123" spans="2:70" hidden="1" x14ac:dyDescent="0.25">
      <c r="B123">
        <v>86</v>
      </c>
      <c r="C123" s="13">
        <f t="shared" ca="1" si="80"/>
        <v>47766</v>
      </c>
      <c r="D123" s="14">
        <f t="shared" si="71"/>
        <v>0</v>
      </c>
      <c r="E123" s="14">
        <f t="shared" si="77"/>
        <v>0</v>
      </c>
      <c r="F123" s="14">
        <f t="shared" si="77"/>
        <v>0</v>
      </c>
      <c r="G123" s="14">
        <f t="shared" si="77"/>
        <v>0</v>
      </c>
      <c r="H123" s="14">
        <f t="shared" si="77"/>
        <v>0</v>
      </c>
      <c r="I123" s="14">
        <f t="shared" si="77"/>
        <v>0</v>
      </c>
      <c r="J123" s="14">
        <f t="shared" si="77"/>
        <v>0</v>
      </c>
      <c r="K123" s="14">
        <f t="shared" si="77"/>
        <v>0</v>
      </c>
      <c r="L123" s="14">
        <f t="shared" si="77"/>
        <v>0</v>
      </c>
      <c r="M123" s="224">
        <f t="shared" si="77"/>
        <v>0</v>
      </c>
      <c r="P123" s="161">
        <v>108</v>
      </c>
      <c r="Q123" s="161">
        <f t="shared" si="48"/>
        <v>0</v>
      </c>
      <c r="R123" s="161">
        <f t="shared" si="60"/>
        <v>0</v>
      </c>
      <c r="S123" s="161">
        <f t="shared" si="61"/>
        <v>0</v>
      </c>
      <c r="T123" s="161">
        <f t="shared" si="62"/>
        <v>0</v>
      </c>
      <c r="U123" s="161">
        <f t="shared" si="63"/>
        <v>0</v>
      </c>
      <c r="V123" s="161">
        <f t="shared" si="64"/>
        <v>0</v>
      </c>
      <c r="W123" s="161">
        <f t="shared" si="65"/>
        <v>0</v>
      </c>
      <c r="X123" s="161">
        <f t="shared" si="66"/>
        <v>0</v>
      </c>
      <c r="Y123" s="161">
        <f t="shared" si="67"/>
        <v>0</v>
      </c>
      <c r="Z123" s="161">
        <f t="shared" si="68"/>
        <v>0</v>
      </c>
      <c r="AB123" s="168">
        <v>100</v>
      </c>
      <c r="AC123" s="213">
        <f t="shared" ca="1" si="72"/>
        <v>48192</v>
      </c>
      <c r="AD123" s="214">
        <f t="shared" si="73"/>
        <v>0</v>
      </c>
      <c r="AF123" s="168">
        <v>100</v>
      </c>
      <c r="AG123" s="213">
        <f t="shared" ca="1" si="74"/>
        <v>48192</v>
      </c>
      <c r="AH123" s="208">
        <f t="shared" si="57"/>
        <v>0</v>
      </c>
      <c r="AI123" s="215">
        <f t="shared" ca="1" si="76"/>
        <v>0</v>
      </c>
      <c r="AJ123" s="168">
        <v>100</v>
      </c>
      <c r="AK123" s="213">
        <f t="shared" ca="1" si="75"/>
        <v>48192</v>
      </c>
      <c r="AL123" s="208">
        <f t="shared" si="59"/>
        <v>0</v>
      </c>
      <c r="BC123" s="186" t="str">
        <f t="shared" si="78"/>
        <v>2PREF FLORIANOPO</v>
      </c>
      <c r="BD123" s="186">
        <f t="shared" si="79"/>
        <v>2</v>
      </c>
      <c r="BE123" s="209" t="str">
        <f>'SIMULADOR COM SALDO'!BF122</f>
        <v>PREF FLORIANOPO</v>
      </c>
      <c r="BF123" s="209" t="str">
        <f>'SIMULADOR COM SALDO'!BG122</f>
        <v>745097 - Tabela 1</v>
      </c>
      <c r="BG123" s="209">
        <f>'SIMULADOR COM SALDO'!BH122</f>
        <v>1.9E-2</v>
      </c>
      <c r="BH123" s="209">
        <f>'SIMULADOR COM SALDO'!BI122</f>
        <v>120</v>
      </c>
      <c r="BI123" s="209" t="str">
        <f>'SIMULADOR COM SALDO'!BJ122</f>
        <v/>
      </c>
      <c r="BJ123" s="209">
        <f>'SIMULADOR COM SALDO'!BK122</f>
        <v>2.1</v>
      </c>
      <c r="BK123" s="209">
        <f>'SIMULADOR COM SALDO'!BL122</f>
        <v>10</v>
      </c>
      <c r="BL123" s="209">
        <f>'SIMULADOR COM SALDO'!BM122</f>
        <v>43</v>
      </c>
      <c r="BM123" s="209" t="str">
        <f>'SIMULADOR COM SALDO'!BN122</f>
        <v>RFN - PREF FLORIPA PORTAB 1 DIG AROS</v>
      </c>
      <c r="BN123" s="209" t="str">
        <f>'SIMULADOR COM SALDO'!BO122</f>
        <v>1,4</v>
      </c>
      <c r="BO123" s="209">
        <f>'SIMULADOR COM SALDO'!BP122</f>
        <v>1.3999999999999999E-2</v>
      </c>
      <c r="BP123" s="209">
        <f>'SIMULADOR COM SALDO'!BQ122</f>
        <v>2.2036210477695769E-2</v>
      </c>
      <c r="BQ123" s="209">
        <f>'SIMULADOR COM SALDO'!BR122</f>
        <v>2.1000000000000001E-2</v>
      </c>
      <c r="BR123" s="209">
        <f>'SIMULADOR COM SALDO'!BS122</f>
        <v>2.9999999999999997E-4</v>
      </c>
    </row>
    <row r="124" spans="2:70" hidden="1" x14ac:dyDescent="0.25">
      <c r="B124">
        <v>87</v>
      </c>
      <c r="C124" s="13">
        <f t="shared" ca="1" si="80"/>
        <v>47797</v>
      </c>
      <c r="D124" s="14">
        <f t="shared" si="71"/>
        <v>0</v>
      </c>
      <c r="E124" s="14">
        <f t="shared" si="77"/>
        <v>0</v>
      </c>
      <c r="F124" s="14">
        <f t="shared" si="77"/>
        <v>0</v>
      </c>
      <c r="G124" s="14">
        <f t="shared" si="77"/>
        <v>0</v>
      </c>
      <c r="H124" s="14">
        <f t="shared" si="77"/>
        <v>0</v>
      </c>
      <c r="I124" s="14">
        <f t="shared" si="77"/>
        <v>0</v>
      </c>
      <c r="J124" s="14">
        <f t="shared" si="77"/>
        <v>0</v>
      </c>
      <c r="K124" s="14">
        <f t="shared" si="77"/>
        <v>0</v>
      </c>
      <c r="L124" s="14">
        <f t="shared" si="77"/>
        <v>0</v>
      </c>
      <c r="M124" s="224">
        <f t="shared" si="77"/>
        <v>0</v>
      </c>
      <c r="P124" s="161">
        <v>109</v>
      </c>
      <c r="Q124" s="161">
        <f t="shared" si="48"/>
        <v>0</v>
      </c>
      <c r="R124" s="161">
        <f t="shared" si="60"/>
        <v>0</v>
      </c>
      <c r="S124" s="161">
        <f t="shared" si="61"/>
        <v>0</v>
      </c>
      <c r="T124" s="161">
        <f t="shared" si="62"/>
        <v>0</v>
      </c>
      <c r="U124" s="161">
        <f t="shared" si="63"/>
        <v>0</v>
      </c>
      <c r="V124" s="161">
        <f t="shared" si="64"/>
        <v>0</v>
      </c>
      <c r="W124" s="161">
        <f t="shared" si="65"/>
        <v>0</v>
      </c>
      <c r="X124" s="161">
        <f t="shared" si="66"/>
        <v>0</v>
      </c>
      <c r="Y124" s="161">
        <f t="shared" si="67"/>
        <v>0</v>
      </c>
      <c r="Z124" s="161">
        <f t="shared" si="68"/>
        <v>0</v>
      </c>
      <c r="AB124" s="168">
        <v>101</v>
      </c>
      <c r="AC124" s="213">
        <f t="shared" ca="1" si="72"/>
        <v>48223</v>
      </c>
      <c r="AD124" s="214">
        <f t="shared" si="73"/>
        <v>0</v>
      </c>
      <c r="AF124" s="168">
        <v>101</v>
      </c>
      <c r="AG124" s="213">
        <f t="shared" ca="1" si="74"/>
        <v>48223</v>
      </c>
      <c r="AH124" s="208">
        <f t="shared" si="57"/>
        <v>0</v>
      </c>
      <c r="AI124" s="215">
        <f t="shared" ca="1" si="76"/>
        <v>0</v>
      </c>
      <c r="AJ124" s="168">
        <v>101</v>
      </c>
      <c r="AK124" s="213">
        <f t="shared" ca="1" si="75"/>
        <v>48223</v>
      </c>
      <c r="AL124" s="208">
        <f t="shared" si="59"/>
        <v>0</v>
      </c>
      <c r="BC124" s="186" t="str">
        <f t="shared" si="78"/>
        <v>3PREF FLORIANOPO</v>
      </c>
      <c r="BD124" s="186">
        <f t="shared" si="79"/>
        <v>3</v>
      </c>
      <c r="BE124" s="209" t="str">
        <f>'SIMULADOR COM SALDO'!BF123</f>
        <v>PREF FLORIANOPO</v>
      </c>
      <c r="BF124" s="209" t="str">
        <f>'SIMULADOR COM SALDO'!BG123</f>
        <v>745098 - Tabela 2</v>
      </c>
      <c r="BG124" s="209">
        <f>'SIMULADOR COM SALDO'!BH123</f>
        <v>1.8000000000000002E-2</v>
      </c>
      <c r="BH124" s="209">
        <f>'SIMULADOR COM SALDO'!BI123</f>
        <v>120</v>
      </c>
      <c r="BI124" s="209" t="str">
        <f>'SIMULADOR COM SALDO'!BJ123</f>
        <v/>
      </c>
      <c r="BJ124" s="209">
        <f>'SIMULADOR COM SALDO'!BK123</f>
        <v>2.1</v>
      </c>
      <c r="BK124" s="209">
        <f>'SIMULADOR COM SALDO'!BL123</f>
        <v>10</v>
      </c>
      <c r="BL124" s="209">
        <f>'SIMULADOR COM SALDO'!BM123</f>
        <v>46</v>
      </c>
      <c r="BM124" s="209" t="str">
        <f>'SIMULADOR COM SALDO'!BN123</f>
        <v>RFN - PREF FLORIPA PORTAB 2 DIG</v>
      </c>
      <c r="BN124" s="209" t="str">
        <f>'SIMULADOR COM SALDO'!BO123</f>
        <v>1,4</v>
      </c>
      <c r="BO124" s="209">
        <f>'SIMULADOR COM SALDO'!BP123</f>
        <v>1.3999999999999999E-2</v>
      </c>
      <c r="BP124" s="209">
        <f>'SIMULADOR COM SALDO'!BQ123</f>
        <v>2.1214329341591353E-2</v>
      </c>
      <c r="BQ124" s="209">
        <f>'SIMULADOR COM SALDO'!BR123</f>
        <v>2.1000000000000001E-2</v>
      </c>
      <c r="BR124" s="209">
        <f>'SIMULADOR COM SALDO'!BS123</f>
        <v>2.9999999999999997E-4</v>
      </c>
    </row>
    <row r="125" spans="2:70" hidden="1" x14ac:dyDescent="0.25">
      <c r="B125">
        <v>88</v>
      </c>
      <c r="C125" s="13">
        <f t="shared" ca="1" si="80"/>
        <v>47827</v>
      </c>
      <c r="D125" s="14">
        <f t="shared" si="71"/>
        <v>0</v>
      </c>
      <c r="E125" s="14">
        <f t="shared" si="77"/>
        <v>0</v>
      </c>
      <c r="F125" s="14">
        <f t="shared" si="77"/>
        <v>0</v>
      </c>
      <c r="G125" s="14">
        <f t="shared" si="77"/>
        <v>0</v>
      </c>
      <c r="H125" s="14">
        <f t="shared" si="77"/>
        <v>0</v>
      </c>
      <c r="I125" s="14">
        <f t="shared" si="77"/>
        <v>0</v>
      </c>
      <c r="J125" s="14">
        <f t="shared" si="77"/>
        <v>0</v>
      </c>
      <c r="K125" s="14">
        <f t="shared" si="77"/>
        <v>0</v>
      </c>
      <c r="L125" s="14">
        <f t="shared" si="77"/>
        <v>0</v>
      </c>
      <c r="M125" s="224">
        <f t="shared" si="77"/>
        <v>0</v>
      </c>
      <c r="P125" s="161">
        <v>110</v>
      </c>
      <c r="Q125" s="161">
        <f t="shared" si="48"/>
        <v>0</v>
      </c>
      <c r="R125" s="161">
        <f t="shared" si="60"/>
        <v>0</v>
      </c>
      <c r="S125" s="161">
        <f t="shared" si="61"/>
        <v>0</v>
      </c>
      <c r="T125" s="161">
        <f t="shared" si="62"/>
        <v>0</v>
      </c>
      <c r="U125" s="161">
        <f t="shared" si="63"/>
        <v>0</v>
      </c>
      <c r="V125" s="161">
        <f t="shared" si="64"/>
        <v>0</v>
      </c>
      <c r="W125" s="161">
        <f t="shared" si="65"/>
        <v>0</v>
      </c>
      <c r="X125" s="161">
        <f t="shared" si="66"/>
        <v>0</v>
      </c>
      <c r="Y125" s="161">
        <f t="shared" si="67"/>
        <v>0</v>
      </c>
      <c r="Z125" s="161">
        <f t="shared" si="68"/>
        <v>0</v>
      </c>
      <c r="AB125" s="168">
        <v>102</v>
      </c>
      <c r="AC125" s="213">
        <f t="shared" ca="1" si="72"/>
        <v>48254</v>
      </c>
      <c r="AD125" s="214">
        <f t="shared" si="73"/>
        <v>0</v>
      </c>
      <c r="AF125" s="168">
        <v>102</v>
      </c>
      <c r="AG125" s="213">
        <f t="shared" ca="1" si="74"/>
        <v>48254</v>
      </c>
      <c r="AH125" s="208">
        <f t="shared" si="57"/>
        <v>0</v>
      </c>
      <c r="AI125" s="215">
        <f t="shared" ca="1" si="76"/>
        <v>0</v>
      </c>
      <c r="AJ125" s="168">
        <v>102</v>
      </c>
      <c r="AK125" s="213">
        <f t="shared" ca="1" si="75"/>
        <v>48254</v>
      </c>
      <c r="AL125" s="208">
        <f t="shared" si="59"/>
        <v>0</v>
      </c>
      <c r="BC125" s="186" t="str">
        <f t="shared" si="78"/>
        <v>1PREF FORTALEZA</v>
      </c>
      <c r="BD125" s="186">
        <f t="shared" si="79"/>
        <v>1</v>
      </c>
      <c r="BE125" s="209" t="str">
        <f>'SIMULADOR COM SALDO'!BF124</f>
        <v>PREF FORTALEZA</v>
      </c>
      <c r="BF125" s="209" t="str">
        <f>'SIMULADOR COM SALDO'!BG124</f>
        <v>765120 - Tabela 1</v>
      </c>
      <c r="BG125" s="209">
        <f>'SIMULADOR COM SALDO'!BH124</f>
        <v>2.3399999999999997E-2</v>
      </c>
      <c r="BH125" s="209">
        <f>'SIMULADOR COM SALDO'!BI124</f>
        <v>120</v>
      </c>
      <c r="BI125" s="209" t="str">
        <f>'SIMULADOR COM SALDO'!BJ124</f>
        <v/>
      </c>
      <c r="BJ125" s="209">
        <f>'SIMULADOR COM SALDO'!BK124</f>
        <v>2.34</v>
      </c>
      <c r="BK125" s="209">
        <f>'SIMULADOR COM SALDO'!BL124</f>
        <v>10</v>
      </c>
      <c r="BL125" s="209">
        <f>'SIMULADOR COM SALDO'!BM124</f>
        <v>47</v>
      </c>
      <c r="BM125" s="209" t="str">
        <f>'SIMULADOR COM SALDO'!BN124</f>
        <v>RFN - PREF FORTALEZA DIG PORTABILIDADE 1</v>
      </c>
      <c r="BN125" s="209" t="str">
        <f>'SIMULADOR COM SALDO'!BO124</f>
        <v>1,29</v>
      </c>
      <c r="BO125" s="209">
        <f>'SIMULADOR COM SALDO'!BP124</f>
        <v>1.29E-2</v>
      </c>
      <c r="BP125" s="209">
        <f>'SIMULADOR COM SALDO'!BQ124</f>
        <v>2.6046980742064935E-2</v>
      </c>
      <c r="BQ125" s="209">
        <f>'SIMULADOR COM SALDO'!BR124</f>
        <v>2.3399999999999997E-2</v>
      </c>
      <c r="BR125" s="209">
        <f>'SIMULADOR COM SALDO'!BS124</f>
        <v>2.9999999999999997E-4</v>
      </c>
    </row>
    <row r="126" spans="2:70" hidden="1" x14ac:dyDescent="0.25">
      <c r="B126">
        <v>89</v>
      </c>
      <c r="C126" s="13">
        <f t="shared" ca="1" si="80"/>
        <v>47858</v>
      </c>
      <c r="D126" s="14">
        <f t="shared" si="71"/>
        <v>0</v>
      </c>
      <c r="E126" s="14">
        <f t="shared" si="77"/>
        <v>0</v>
      </c>
      <c r="F126" s="14">
        <f t="shared" si="77"/>
        <v>0</v>
      </c>
      <c r="G126" s="14">
        <f t="shared" si="77"/>
        <v>0</v>
      </c>
      <c r="H126" s="14">
        <f t="shared" si="77"/>
        <v>0</v>
      </c>
      <c r="I126" s="14">
        <f t="shared" si="77"/>
        <v>0</v>
      </c>
      <c r="J126" s="14">
        <f t="shared" si="77"/>
        <v>0</v>
      </c>
      <c r="K126" s="14">
        <f t="shared" si="77"/>
        <v>0</v>
      </c>
      <c r="L126" s="14">
        <f t="shared" si="77"/>
        <v>0</v>
      </c>
      <c r="M126" s="224">
        <f t="shared" si="77"/>
        <v>0</v>
      </c>
      <c r="P126" s="161">
        <v>111</v>
      </c>
      <c r="Q126" s="161">
        <f t="shared" si="48"/>
        <v>0</v>
      </c>
      <c r="R126" s="161">
        <f t="shared" si="60"/>
        <v>0</v>
      </c>
      <c r="S126" s="161">
        <f t="shared" si="61"/>
        <v>0</v>
      </c>
      <c r="T126" s="161">
        <f t="shared" si="62"/>
        <v>0</v>
      </c>
      <c r="U126" s="161">
        <f t="shared" si="63"/>
        <v>0</v>
      </c>
      <c r="V126" s="161">
        <f t="shared" si="64"/>
        <v>0</v>
      </c>
      <c r="W126" s="161">
        <f t="shared" si="65"/>
        <v>0</v>
      </c>
      <c r="X126" s="161">
        <f t="shared" si="66"/>
        <v>0</v>
      </c>
      <c r="Y126" s="161">
        <f t="shared" si="67"/>
        <v>0</v>
      </c>
      <c r="Z126" s="161">
        <f t="shared" si="68"/>
        <v>0</v>
      </c>
      <c r="AB126" s="168">
        <v>103</v>
      </c>
      <c r="AC126" s="213">
        <f t="shared" ca="1" si="72"/>
        <v>48283</v>
      </c>
      <c r="AD126" s="214">
        <f t="shared" si="73"/>
        <v>0</v>
      </c>
      <c r="AF126" s="168">
        <v>103</v>
      </c>
      <c r="AG126" s="213">
        <f t="shared" ca="1" si="74"/>
        <v>48283</v>
      </c>
      <c r="AH126" s="208">
        <f t="shared" si="57"/>
        <v>0</v>
      </c>
      <c r="AI126" s="215">
        <f t="shared" ca="1" si="76"/>
        <v>0</v>
      </c>
      <c r="AJ126" s="168">
        <v>103</v>
      </c>
      <c r="AK126" s="213">
        <f t="shared" ca="1" si="75"/>
        <v>48283</v>
      </c>
      <c r="AL126" s="208">
        <f t="shared" si="59"/>
        <v>0</v>
      </c>
      <c r="BC126" s="186" t="str">
        <f t="shared" si="78"/>
        <v>2PREF FORTALEZA</v>
      </c>
      <c r="BD126" s="186">
        <f t="shared" si="79"/>
        <v>2</v>
      </c>
      <c r="BE126" s="209" t="str">
        <f>'SIMULADOR COM SALDO'!BF125</f>
        <v>PREF FORTALEZA</v>
      </c>
      <c r="BF126" s="209" t="str">
        <f>'SIMULADOR COM SALDO'!BG125</f>
        <v>765121 - Tabela 2</v>
      </c>
      <c r="BG126" s="209">
        <f>'SIMULADOR COM SALDO'!BH125</f>
        <v>2.2400000000000003E-2</v>
      </c>
      <c r="BH126" s="209">
        <f>'SIMULADOR COM SALDO'!BI125</f>
        <v>120</v>
      </c>
      <c r="BI126" s="209" t="str">
        <f>'SIMULADOR COM SALDO'!BJ125</f>
        <v/>
      </c>
      <c r="BJ126" s="209">
        <f>'SIMULADOR COM SALDO'!BK125</f>
        <v>2.34</v>
      </c>
      <c r="BK126" s="209">
        <f>'SIMULADOR COM SALDO'!BL125</f>
        <v>10</v>
      </c>
      <c r="BL126" s="209">
        <f>'SIMULADOR COM SALDO'!BM125</f>
        <v>53</v>
      </c>
      <c r="BM126" s="209" t="str">
        <f>'SIMULADOR COM SALDO'!BN125</f>
        <v>RFN - PREF FORTALEZA DIG PORTABILIDADE 2</v>
      </c>
      <c r="BN126" s="209" t="str">
        <f>'SIMULADOR COM SALDO'!BO125</f>
        <v>1,29</v>
      </c>
      <c r="BO126" s="209">
        <f>'SIMULADOR COM SALDO'!BP125</f>
        <v>1.29E-2</v>
      </c>
      <c r="BP126" s="209">
        <f>'SIMULADOR COM SALDO'!BQ125</f>
        <v>2.523946521678069E-2</v>
      </c>
      <c r="BQ126" s="209">
        <f>'SIMULADOR COM SALDO'!BR125</f>
        <v>2.3399999999999997E-2</v>
      </c>
      <c r="BR126" s="209">
        <f>'SIMULADOR COM SALDO'!BS125</f>
        <v>2.9999999999999997E-4</v>
      </c>
    </row>
    <row r="127" spans="2:70" hidden="1" x14ac:dyDescent="0.25">
      <c r="B127">
        <v>90</v>
      </c>
      <c r="C127" s="13">
        <f t="shared" ca="1" si="80"/>
        <v>47889</v>
      </c>
      <c r="D127" s="14">
        <f t="shared" si="71"/>
        <v>0</v>
      </c>
      <c r="E127" s="14">
        <f t="shared" si="77"/>
        <v>0</v>
      </c>
      <c r="F127" s="14">
        <f t="shared" si="77"/>
        <v>0</v>
      </c>
      <c r="G127" s="14">
        <f t="shared" si="77"/>
        <v>0</v>
      </c>
      <c r="H127" s="14">
        <f t="shared" si="77"/>
        <v>0</v>
      </c>
      <c r="I127" s="14">
        <f t="shared" si="77"/>
        <v>0</v>
      </c>
      <c r="J127" s="14">
        <f t="shared" si="77"/>
        <v>0</v>
      </c>
      <c r="K127" s="14">
        <f t="shared" si="77"/>
        <v>0</v>
      </c>
      <c r="L127" s="14">
        <f t="shared" si="77"/>
        <v>0</v>
      </c>
      <c r="M127" s="224">
        <f t="shared" si="77"/>
        <v>0</v>
      </c>
      <c r="P127" s="161">
        <v>112</v>
      </c>
      <c r="Q127" s="161">
        <f t="shared" si="48"/>
        <v>0</v>
      </c>
      <c r="R127" s="161">
        <f t="shared" si="60"/>
        <v>0</v>
      </c>
      <c r="S127" s="161">
        <f t="shared" si="61"/>
        <v>0</v>
      </c>
      <c r="T127" s="161">
        <f t="shared" si="62"/>
        <v>0</v>
      </c>
      <c r="U127" s="161">
        <f t="shared" si="63"/>
        <v>0</v>
      </c>
      <c r="V127" s="161">
        <f t="shared" si="64"/>
        <v>0</v>
      </c>
      <c r="W127" s="161">
        <f t="shared" si="65"/>
        <v>0</v>
      </c>
      <c r="X127" s="161">
        <f t="shared" si="66"/>
        <v>0</v>
      </c>
      <c r="Y127" s="161">
        <f t="shared" si="67"/>
        <v>0</v>
      </c>
      <c r="Z127" s="161">
        <f t="shared" si="68"/>
        <v>0</v>
      </c>
      <c r="AB127" s="168">
        <v>104</v>
      </c>
      <c r="AC127" s="213">
        <f t="shared" ca="1" si="72"/>
        <v>48314</v>
      </c>
      <c r="AD127" s="214">
        <f t="shared" si="73"/>
        <v>0</v>
      </c>
      <c r="AF127" s="168">
        <v>104</v>
      </c>
      <c r="AG127" s="213">
        <f t="shared" ca="1" si="74"/>
        <v>48314</v>
      </c>
      <c r="AH127" s="208">
        <f t="shared" si="57"/>
        <v>0</v>
      </c>
      <c r="AI127" s="215">
        <f t="shared" ca="1" si="76"/>
        <v>0</v>
      </c>
      <c r="AJ127" s="168">
        <v>104</v>
      </c>
      <c r="AK127" s="213">
        <f t="shared" ca="1" si="75"/>
        <v>48314</v>
      </c>
      <c r="AL127" s="208">
        <f t="shared" si="59"/>
        <v>0</v>
      </c>
      <c r="BC127" s="186" t="str">
        <f t="shared" si="78"/>
        <v>3PREF FORTALEZA</v>
      </c>
      <c r="BD127" s="186">
        <f t="shared" si="79"/>
        <v>3</v>
      </c>
      <c r="BE127" s="209" t="str">
        <f>'SIMULADOR COM SALDO'!BF126</f>
        <v>PREF FORTALEZA</v>
      </c>
      <c r="BF127" s="209" t="str">
        <f>'SIMULADOR COM SALDO'!BG126</f>
        <v>765122 - Tabela 3</v>
      </c>
      <c r="BG127" s="209">
        <f>'SIMULADOR COM SALDO'!BH126</f>
        <v>2.1400000000000002E-2</v>
      </c>
      <c r="BH127" s="209">
        <f>'SIMULADOR COM SALDO'!BI126</f>
        <v>120</v>
      </c>
      <c r="BI127" s="209" t="str">
        <f>'SIMULADOR COM SALDO'!BJ126</f>
        <v/>
      </c>
      <c r="BJ127" s="209">
        <f>'SIMULADOR COM SALDO'!BK126</f>
        <v>2.34</v>
      </c>
      <c r="BK127" s="209">
        <f>'SIMULADOR COM SALDO'!BL126</f>
        <v>10</v>
      </c>
      <c r="BL127" s="209">
        <f>'SIMULADOR COM SALDO'!BM126</f>
        <v>35</v>
      </c>
      <c r="BM127" s="209" t="str">
        <f>'SIMULADOR COM SALDO'!BN126</f>
        <v>RFN - PREF FORTALEZA DIG PORTABILIDADE 3</v>
      </c>
      <c r="BN127" s="209" t="str">
        <f>'SIMULADOR COM SALDO'!BO126</f>
        <v>1,29</v>
      </c>
      <c r="BO127" s="209">
        <f>'SIMULADOR COM SALDO'!BP126</f>
        <v>1.29E-2</v>
      </c>
      <c r="BP127" s="209">
        <f>'SIMULADOR COM SALDO'!BQ126</f>
        <v>2.4015903785257243E-2</v>
      </c>
      <c r="BQ127" s="209">
        <f>'SIMULADOR COM SALDO'!BR126</f>
        <v>2.3399999999999997E-2</v>
      </c>
      <c r="BR127" s="209">
        <f>'SIMULADOR COM SALDO'!BS126</f>
        <v>2.9999999999999997E-4</v>
      </c>
    </row>
    <row r="128" spans="2:70" hidden="1" x14ac:dyDescent="0.25">
      <c r="B128">
        <v>91</v>
      </c>
      <c r="C128" s="13">
        <f t="shared" ca="1" si="80"/>
        <v>47917</v>
      </c>
      <c r="D128" s="14">
        <f t="shared" si="71"/>
        <v>0</v>
      </c>
      <c r="E128" s="14">
        <f t="shared" si="77"/>
        <v>0</v>
      </c>
      <c r="F128" s="14">
        <f t="shared" si="77"/>
        <v>0</v>
      </c>
      <c r="G128" s="14">
        <f t="shared" si="77"/>
        <v>0</v>
      </c>
      <c r="H128" s="14">
        <f t="shared" si="77"/>
        <v>0</v>
      </c>
      <c r="I128" s="14">
        <f t="shared" si="77"/>
        <v>0</v>
      </c>
      <c r="J128" s="14">
        <f t="shared" si="77"/>
        <v>0</v>
      </c>
      <c r="K128" s="14">
        <f t="shared" si="77"/>
        <v>0</v>
      </c>
      <c r="L128" s="14">
        <f t="shared" si="77"/>
        <v>0</v>
      </c>
      <c r="M128" s="224">
        <f t="shared" si="77"/>
        <v>0</v>
      </c>
      <c r="P128" s="161">
        <v>113</v>
      </c>
      <c r="Q128" s="161">
        <f t="shared" si="48"/>
        <v>0</v>
      </c>
      <c r="R128" s="161">
        <f t="shared" si="60"/>
        <v>0</v>
      </c>
      <c r="S128" s="161">
        <f t="shared" si="61"/>
        <v>0</v>
      </c>
      <c r="T128" s="161">
        <f t="shared" si="62"/>
        <v>0</v>
      </c>
      <c r="U128" s="161">
        <f t="shared" si="63"/>
        <v>0</v>
      </c>
      <c r="V128" s="161">
        <f t="shared" si="64"/>
        <v>0</v>
      </c>
      <c r="W128" s="161">
        <f t="shared" si="65"/>
        <v>0</v>
      </c>
      <c r="X128" s="161">
        <f t="shared" si="66"/>
        <v>0</v>
      </c>
      <c r="Y128" s="161">
        <f t="shared" si="67"/>
        <v>0</v>
      </c>
      <c r="Z128" s="161">
        <f t="shared" si="68"/>
        <v>0</v>
      </c>
      <c r="AB128" s="168">
        <v>105</v>
      </c>
      <c r="AC128" s="213">
        <f t="shared" ca="1" si="72"/>
        <v>48344</v>
      </c>
      <c r="AD128" s="214">
        <f t="shared" si="73"/>
        <v>0</v>
      </c>
      <c r="AF128" s="168">
        <v>105</v>
      </c>
      <c r="AG128" s="213">
        <f t="shared" ca="1" si="74"/>
        <v>48344</v>
      </c>
      <c r="AH128" s="208">
        <f t="shared" si="57"/>
        <v>0</v>
      </c>
      <c r="AI128" s="215">
        <f t="shared" ca="1" si="76"/>
        <v>0</v>
      </c>
      <c r="AJ128" s="168">
        <v>105</v>
      </c>
      <c r="AK128" s="213">
        <f t="shared" ca="1" si="75"/>
        <v>48344</v>
      </c>
      <c r="AL128" s="208">
        <f t="shared" si="59"/>
        <v>0</v>
      </c>
      <c r="BC128" s="186" t="str">
        <f t="shared" si="78"/>
        <v>4PREF FORTALEZA</v>
      </c>
      <c r="BD128" s="186">
        <f t="shared" si="79"/>
        <v>4</v>
      </c>
      <c r="BE128" s="209" t="str">
        <f>'SIMULADOR COM SALDO'!BF127</f>
        <v>PREF FORTALEZA</v>
      </c>
      <c r="BF128" s="209" t="str">
        <f>'SIMULADOR COM SALDO'!BG127</f>
        <v>765123 - Tabela 4</v>
      </c>
      <c r="BG128" s="209">
        <f>'SIMULADOR COM SALDO'!BH127</f>
        <v>2.0400000000000001E-2</v>
      </c>
      <c r="BH128" s="209">
        <f>'SIMULADOR COM SALDO'!BI127</f>
        <v>120</v>
      </c>
      <c r="BI128" s="209" t="str">
        <f>'SIMULADOR COM SALDO'!BJ127</f>
        <v/>
      </c>
      <c r="BJ128" s="209">
        <f>'SIMULADOR COM SALDO'!BK127</f>
        <v>2.34</v>
      </c>
      <c r="BK128" s="209">
        <f>'SIMULADOR COM SALDO'!BL127</f>
        <v>10</v>
      </c>
      <c r="BL128" s="209">
        <f>'SIMULADOR COM SALDO'!BM127</f>
        <v>34</v>
      </c>
      <c r="BM128" s="209" t="str">
        <f>'SIMULADOR COM SALDO'!BN127</f>
        <v>RFN - PREF FORTALEZA DIG PORTABILIDADE 4</v>
      </c>
      <c r="BN128" s="209" t="str">
        <f>'SIMULADOR COM SALDO'!BO127</f>
        <v>1,29</v>
      </c>
      <c r="BO128" s="209">
        <f>'SIMULADOR COM SALDO'!BP127</f>
        <v>1.29E-2</v>
      </c>
      <c r="BP128" s="209">
        <f>'SIMULADOR COM SALDO'!BQ127</f>
        <v>2.3121199028013441E-2</v>
      </c>
      <c r="BQ128" s="209">
        <f>'SIMULADOR COM SALDO'!BR127</f>
        <v>2.3399999999999997E-2</v>
      </c>
      <c r="BR128" s="209">
        <f>'SIMULADOR COM SALDO'!BS127</f>
        <v>2.9999999999999997E-4</v>
      </c>
    </row>
    <row r="129" spans="2:70" ht="14.25" hidden="1" customHeight="1" x14ac:dyDescent="0.25">
      <c r="B129">
        <v>92</v>
      </c>
      <c r="C129" s="13">
        <f t="shared" ca="1" si="80"/>
        <v>47948</v>
      </c>
      <c r="D129" s="14">
        <f t="shared" si="71"/>
        <v>0</v>
      </c>
      <c r="E129" s="14">
        <f t="shared" si="77"/>
        <v>0</v>
      </c>
      <c r="F129" s="14">
        <f t="shared" si="77"/>
        <v>0</v>
      </c>
      <c r="G129" s="14">
        <f t="shared" si="77"/>
        <v>0</v>
      </c>
      <c r="H129" s="14">
        <f t="shared" si="77"/>
        <v>0</v>
      </c>
      <c r="I129" s="14">
        <f t="shared" si="77"/>
        <v>0</v>
      </c>
      <c r="J129" s="14">
        <f t="shared" si="77"/>
        <v>0</v>
      </c>
      <c r="K129" s="14">
        <f t="shared" si="77"/>
        <v>0</v>
      </c>
      <c r="L129" s="14">
        <f t="shared" si="77"/>
        <v>0</v>
      </c>
      <c r="M129" s="224">
        <f t="shared" si="77"/>
        <v>0</v>
      </c>
      <c r="P129" s="161">
        <v>114</v>
      </c>
      <c r="Q129" s="161">
        <f t="shared" si="48"/>
        <v>0</v>
      </c>
      <c r="R129" s="161">
        <f t="shared" si="60"/>
        <v>0</v>
      </c>
      <c r="S129" s="161">
        <f t="shared" si="61"/>
        <v>0</v>
      </c>
      <c r="T129" s="161">
        <f t="shared" si="62"/>
        <v>0</v>
      </c>
      <c r="U129" s="161">
        <f t="shared" si="63"/>
        <v>0</v>
      </c>
      <c r="V129" s="161">
        <f t="shared" si="64"/>
        <v>0</v>
      </c>
      <c r="W129" s="161">
        <f t="shared" si="65"/>
        <v>0</v>
      </c>
      <c r="X129" s="161">
        <f t="shared" si="66"/>
        <v>0</v>
      </c>
      <c r="Y129" s="161">
        <f t="shared" si="67"/>
        <v>0</v>
      </c>
      <c r="Z129" s="161">
        <f t="shared" si="68"/>
        <v>0</v>
      </c>
      <c r="AB129" s="168">
        <v>106</v>
      </c>
      <c r="AC129" s="213">
        <f t="shared" ca="1" si="72"/>
        <v>48375</v>
      </c>
      <c r="AD129" s="214">
        <f t="shared" si="73"/>
        <v>0</v>
      </c>
      <c r="AF129" s="168">
        <v>106</v>
      </c>
      <c r="AG129" s="213">
        <f t="shared" ca="1" si="74"/>
        <v>48375</v>
      </c>
      <c r="AH129" s="208">
        <f t="shared" si="57"/>
        <v>0</v>
      </c>
      <c r="AI129" s="215">
        <f t="shared" ca="1" si="76"/>
        <v>0</v>
      </c>
      <c r="AJ129" s="168">
        <v>106</v>
      </c>
      <c r="AK129" s="213">
        <f t="shared" ca="1" si="75"/>
        <v>48375</v>
      </c>
      <c r="AL129" s="208">
        <f t="shared" si="59"/>
        <v>0</v>
      </c>
      <c r="BC129" s="186" t="str">
        <f t="shared" si="78"/>
        <v>5PREF FORTALEZA</v>
      </c>
      <c r="BD129" s="186">
        <f t="shared" si="79"/>
        <v>5</v>
      </c>
      <c r="BE129" s="209" t="str">
        <f>'SIMULADOR COM SALDO'!BF128</f>
        <v>PREF FORTALEZA</v>
      </c>
      <c r="BF129" s="209" t="str">
        <f>'SIMULADOR COM SALDO'!BG128</f>
        <v>765134 - Tabela 5</v>
      </c>
      <c r="BG129" s="209">
        <f>'SIMULADOR COM SALDO'!BH128</f>
        <v>1.9400000000000001E-2</v>
      </c>
      <c r="BH129" s="209">
        <f>'SIMULADOR COM SALDO'!BI128</f>
        <v>120</v>
      </c>
      <c r="BI129" s="209" t="str">
        <f>'SIMULADOR COM SALDO'!BJ128</f>
        <v/>
      </c>
      <c r="BJ129" s="209">
        <f>'SIMULADOR COM SALDO'!BK128</f>
        <v>2.34</v>
      </c>
      <c r="BK129" s="209">
        <f>'SIMULADOR COM SALDO'!BL128</f>
        <v>10</v>
      </c>
      <c r="BL129" s="209">
        <f>'SIMULADOR COM SALDO'!BM128</f>
        <v>43</v>
      </c>
      <c r="BM129" s="209" t="str">
        <f>'SIMULADOR COM SALDO'!BN128</f>
        <v>RFN - PREF FORTALEZA DIG PORTABILIDADE 5</v>
      </c>
      <c r="BN129" s="209" t="str">
        <f>'SIMULADOR COM SALDO'!BO128</f>
        <v>1,29</v>
      </c>
      <c r="BO129" s="209">
        <f>'SIMULADOR COM SALDO'!BP128</f>
        <v>1.29E-2</v>
      </c>
      <c r="BP129" s="209">
        <f>'SIMULADOR COM SALDO'!BQ128</f>
        <v>2.2383797773615384E-2</v>
      </c>
      <c r="BQ129" s="209">
        <f>'SIMULADOR COM SALDO'!BR128</f>
        <v>2.3399999999999997E-2</v>
      </c>
      <c r="BR129" s="209">
        <f>'SIMULADOR COM SALDO'!BS128</f>
        <v>2.9999999999999997E-4</v>
      </c>
    </row>
    <row r="130" spans="2:70" hidden="1" x14ac:dyDescent="0.25">
      <c r="B130">
        <v>93</v>
      </c>
      <c r="C130" s="13">
        <f t="shared" ca="1" si="80"/>
        <v>47978</v>
      </c>
      <c r="D130" s="14">
        <f t="shared" si="71"/>
        <v>0</v>
      </c>
      <c r="E130" s="14">
        <f t="shared" si="77"/>
        <v>0</v>
      </c>
      <c r="F130" s="14">
        <f t="shared" si="77"/>
        <v>0</v>
      </c>
      <c r="G130" s="14">
        <f t="shared" si="77"/>
        <v>0</v>
      </c>
      <c r="H130" s="14">
        <f t="shared" si="77"/>
        <v>0</v>
      </c>
      <c r="I130" s="14">
        <f t="shared" si="77"/>
        <v>0</v>
      </c>
      <c r="J130" s="14">
        <f t="shared" si="77"/>
        <v>0</v>
      </c>
      <c r="K130" s="14">
        <f t="shared" si="77"/>
        <v>0</v>
      </c>
      <c r="L130" s="14">
        <f t="shared" si="77"/>
        <v>0</v>
      </c>
      <c r="M130" s="224">
        <f t="shared" si="77"/>
        <v>0</v>
      </c>
      <c r="P130" s="161">
        <v>115</v>
      </c>
      <c r="Q130" s="161">
        <f t="shared" si="48"/>
        <v>0</v>
      </c>
      <c r="R130" s="161">
        <f t="shared" si="60"/>
        <v>0</v>
      </c>
      <c r="S130" s="161">
        <f t="shared" si="61"/>
        <v>0</v>
      </c>
      <c r="T130" s="161">
        <f t="shared" si="62"/>
        <v>0</v>
      </c>
      <c r="U130" s="161">
        <f t="shared" si="63"/>
        <v>0</v>
      </c>
      <c r="V130" s="161">
        <f t="shared" si="64"/>
        <v>0</v>
      </c>
      <c r="W130" s="161">
        <f t="shared" si="65"/>
        <v>0</v>
      </c>
      <c r="X130" s="161">
        <f t="shared" si="66"/>
        <v>0</v>
      </c>
      <c r="Y130" s="161">
        <f t="shared" si="67"/>
        <v>0</v>
      </c>
      <c r="Z130" s="161">
        <f t="shared" si="68"/>
        <v>0</v>
      </c>
      <c r="AB130" s="168">
        <v>107</v>
      </c>
      <c r="AC130" s="213">
        <f t="shared" ca="1" si="72"/>
        <v>48405</v>
      </c>
      <c r="AD130" s="214">
        <f t="shared" si="73"/>
        <v>0</v>
      </c>
      <c r="AF130" s="168">
        <v>107</v>
      </c>
      <c r="AG130" s="213">
        <f t="shared" ca="1" si="74"/>
        <v>48405</v>
      </c>
      <c r="AH130" s="208">
        <f t="shared" si="57"/>
        <v>0</v>
      </c>
      <c r="AI130" s="215">
        <f t="shared" ca="1" si="76"/>
        <v>0</v>
      </c>
      <c r="AJ130" s="168">
        <v>107</v>
      </c>
      <c r="AK130" s="213">
        <f t="shared" ca="1" si="75"/>
        <v>48405</v>
      </c>
      <c r="AL130" s="208">
        <f t="shared" si="59"/>
        <v>0</v>
      </c>
      <c r="BC130" s="186" t="str">
        <f t="shared" si="78"/>
        <v>6PREF FORTALEZA</v>
      </c>
      <c r="BD130" s="186">
        <f t="shared" si="79"/>
        <v>6</v>
      </c>
      <c r="BE130" s="209" t="str">
        <f>'SIMULADOR COM SALDO'!BF129</f>
        <v>PREF FORTALEZA</v>
      </c>
      <c r="BF130" s="209" t="str">
        <f>'SIMULADOR COM SALDO'!BG129</f>
        <v>765135 - Tabela 6</v>
      </c>
      <c r="BG130" s="209">
        <f>'SIMULADOR COM SALDO'!BH129</f>
        <v>1.84E-2</v>
      </c>
      <c r="BH130" s="209">
        <f>'SIMULADOR COM SALDO'!BI129</f>
        <v>120</v>
      </c>
      <c r="BI130" s="209" t="str">
        <f>'SIMULADOR COM SALDO'!BJ129</f>
        <v/>
      </c>
      <c r="BJ130" s="209">
        <f>'SIMULADOR COM SALDO'!BK129</f>
        <v>2.34</v>
      </c>
      <c r="BK130" s="209">
        <f>'SIMULADOR COM SALDO'!BL129</f>
        <v>10</v>
      </c>
      <c r="BL130" s="209">
        <f>'SIMULADOR COM SALDO'!BM129</f>
        <v>44</v>
      </c>
      <c r="BM130" s="209" t="str">
        <f>'SIMULADOR COM SALDO'!BN129</f>
        <v>RFN - PREF FORTALEZA DIG PORTABILIDADE 6</v>
      </c>
      <c r="BN130" s="209" t="str">
        <f>'SIMULADOR COM SALDO'!BO129</f>
        <v>1,29</v>
      </c>
      <c r="BO130" s="209">
        <f>'SIMULADOR COM SALDO'!BP129</f>
        <v>1.29E-2</v>
      </c>
      <c r="BP130" s="209">
        <f>'SIMULADOR COM SALDO'!BQ129</f>
        <v>2.1531862306339012E-2</v>
      </c>
      <c r="BQ130" s="209">
        <f>'SIMULADOR COM SALDO'!BR129</f>
        <v>2.3399999999999997E-2</v>
      </c>
      <c r="BR130" s="209">
        <f>'SIMULADOR COM SALDO'!BS129</f>
        <v>2.9999999999999997E-4</v>
      </c>
    </row>
    <row r="131" spans="2:70" hidden="1" x14ac:dyDescent="0.25">
      <c r="B131">
        <v>94</v>
      </c>
      <c r="C131" s="13">
        <f t="shared" ca="1" si="80"/>
        <v>48009</v>
      </c>
      <c r="D131" s="14">
        <f t="shared" si="71"/>
        <v>0</v>
      </c>
      <c r="E131" s="14">
        <f t="shared" si="77"/>
        <v>0</v>
      </c>
      <c r="F131" s="14">
        <f t="shared" si="77"/>
        <v>0</v>
      </c>
      <c r="G131" s="14">
        <f t="shared" si="77"/>
        <v>0</v>
      </c>
      <c r="H131" s="14">
        <f t="shared" si="77"/>
        <v>0</v>
      </c>
      <c r="I131" s="14">
        <f t="shared" si="77"/>
        <v>0</v>
      </c>
      <c r="J131" s="14">
        <f t="shared" si="77"/>
        <v>0</v>
      </c>
      <c r="K131" s="14">
        <f t="shared" si="77"/>
        <v>0</v>
      </c>
      <c r="L131" s="14">
        <f t="shared" si="77"/>
        <v>0</v>
      </c>
      <c r="M131" s="224">
        <f t="shared" si="77"/>
        <v>0</v>
      </c>
      <c r="P131" s="161">
        <v>116</v>
      </c>
      <c r="Q131" s="161">
        <f t="shared" si="48"/>
        <v>0</v>
      </c>
      <c r="R131" s="161">
        <f t="shared" si="60"/>
        <v>0</v>
      </c>
      <c r="S131" s="161">
        <f t="shared" si="61"/>
        <v>0</v>
      </c>
      <c r="T131" s="161">
        <f t="shared" si="62"/>
        <v>0</v>
      </c>
      <c r="U131" s="161">
        <f t="shared" si="63"/>
        <v>0</v>
      </c>
      <c r="V131" s="161">
        <f t="shared" si="64"/>
        <v>0</v>
      </c>
      <c r="W131" s="161">
        <f t="shared" si="65"/>
        <v>0</v>
      </c>
      <c r="X131" s="161">
        <f t="shared" si="66"/>
        <v>0</v>
      </c>
      <c r="Y131" s="161">
        <f t="shared" si="67"/>
        <v>0</v>
      </c>
      <c r="Z131" s="161">
        <f t="shared" si="68"/>
        <v>0</v>
      </c>
      <c r="AB131" s="168">
        <v>108</v>
      </c>
      <c r="AC131" s="213">
        <f t="shared" ca="1" si="72"/>
        <v>48436</v>
      </c>
      <c r="AD131" s="214">
        <f t="shared" si="73"/>
        <v>0</v>
      </c>
      <c r="AF131" s="168">
        <v>108</v>
      </c>
      <c r="AG131" s="213">
        <f t="shared" ca="1" si="74"/>
        <v>48436</v>
      </c>
      <c r="AH131" s="208">
        <f t="shared" si="57"/>
        <v>0</v>
      </c>
      <c r="AI131" s="215">
        <f t="shared" ca="1" si="76"/>
        <v>0</v>
      </c>
      <c r="AJ131" s="168">
        <v>108</v>
      </c>
      <c r="AK131" s="213">
        <f t="shared" ca="1" si="75"/>
        <v>48436</v>
      </c>
      <c r="AL131" s="208">
        <f t="shared" si="59"/>
        <v>0</v>
      </c>
      <c r="BC131" s="186" t="str">
        <f t="shared" si="78"/>
        <v>1PREF GOIANIA</v>
      </c>
      <c r="BD131" s="186">
        <f t="shared" si="79"/>
        <v>1</v>
      </c>
      <c r="BE131" s="209" t="str">
        <f>'SIMULADOR COM SALDO'!BF130</f>
        <v>PREF GOIANIA</v>
      </c>
      <c r="BF131" s="209" t="str">
        <f>'SIMULADOR COM SALDO'!BG130</f>
        <v>745407 - Tabela 1</v>
      </c>
      <c r="BG131" s="209">
        <f>'SIMULADOR COM SALDO'!BH130</f>
        <v>2.4500000000000001E-2</v>
      </c>
      <c r="BH131" s="209">
        <f>'SIMULADOR COM SALDO'!BI130</f>
        <v>96</v>
      </c>
      <c r="BI131" s="209" t="str">
        <f>'SIMULADOR COM SALDO'!BJ130</f>
        <v/>
      </c>
      <c r="BJ131" s="209">
        <f>'SIMULADOR COM SALDO'!BK130</f>
        <v>2.4500000000000002</v>
      </c>
      <c r="BK131" s="209">
        <f>'SIMULADOR COM SALDO'!BL130</f>
        <v>25</v>
      </c>
      <c r="BL131" s="209">
        <f>'SIMULADOR COM SALDO'!BM130</f>
        <v>64</v>
      </c>
      <c r="BM131" s="209" t="str">
        <f>'SIMULADOR COM SALDO'!BN130</f>
        <v>RFN - PREF GOIANIA DIG PORTABILIDADE 1</v>
      </c>
      <c r="BN131" s="209" t="str">
        <f>'SIMULADOR COM SALDO'!BO130</f>
        <v>2,2</v>
      </c>
      <c r="BO131" s="209">
        <f>'SIMULADOR COM SALDO'!BP130</f>
        <v>2.2000000000000002E-2</v>
      </c>
      <c r="BP131" s="209">
        <f>'SIMULADOR COM SALDO'!BQ130</f>
        <v>2.8756851464097715E-2</v>
      </c>
      <c r="BQ131" s="209">
        <f>'SIMULADOR COM SALDO'!BR130</f>
        <v>2.4500000000000001E-2</v>
      </c>
      <c r="BR131" s="209">
        <f>'SIMULADOR COM SALDO'!BS130</f>
        <v>2.9999999999999997E-4</v>
      </c>
    </row>
    <row r="132" spans="2:70" hidden="1" x14ac:dyDescent="0.25">
      <c r="B132">
        <v>95</v>
      </c>
      <c r="C132" s="13">
        <f t="shared" ca="1" si="80"/>
        <v>48039</v>
      </c>
      <c r="D132" s="14">
        <f t="shared" si="71"/>
        <v>0</v>
      </c>
      <c r="E132" s="14">
        <f t="shared" si="77"/>
        <v>0</v>
      </c>
      <c r="F132" s="14">
        <f t="shared" si="77"/>
        <v>0</v>
      </c>
      <c r="G132" s="14">
        <f t="shared" si="77"/>
        <v>0</v>
      </c>
      <c r="H132" s="14">
        <f t="shared" si="77"/>
        <v>0</v>
      </c>
      <c r="I132" s="14">
        <f t="shared" si="77"/>
        <v>0</v>
      </c>
      <c r="J132" s="14">
        <f t="shared" si="77"/>
        <v>0</v>
      </c>
      <c r="K132" s="14">
        <f t="shared" si="77"/>
        <v>0</v>
      </c>
      <c r="L132" s="14">
        <f t="shared" si="77"/>
        <v>0</v>
      </c>
      <c r="M132" s="224">
        <f t="shared" si="77"/>
        <v>0</v>
      </c>
      <c r="P132" s="161">
        <v>117</v>
      </c>
      <c r="Q132" s="161">
        <f t="shared" si="48"/>
        <v>0</v>
      </c>
      <c r="R132" s="161">
        <f t="shared" si="60"/>
        <v>0</v>
      </c>
      <c r="S132" s="161">
        <f t="shared" si="61"/>
        <v>0</v>
      </c>
      <c r="T132" s="161">
        <f t="shared" si="62"/>
        <v>0</v>
      </c>
      <c r="U132" s="161">
        <f t="shared" si="63"/>
        <v>0</v>
      </c>
      <c r="V132" s="161">
        <f t="shared" si="64"/>
        <v>0</v>
      </c>
      <c r="W132" s="161">
        <f t="shared" si="65"/>
        <v>0</v>
      </c>
      <c r="X132" s="161">
        <f t="shared" si="66"/>
        <v>0</v>
      </c>
      <c r="Y132" s="161">
        <f t="shared" si="67"/>
        <v>0</v>
      </c>
      <c r="Z132" s="161">
        <f t="shared" si="68"/>
        <v>0</v>
      </c>
      <c r="AB132" s="168">
        <v>109</v>
      </c>
      <c r="AC132" s="213">
        <f t="shared" ca="1" si="72"/>
        <v>48467</v>
      </c>
      <c r="AD132" s="214">
        <f t="shared" si="73"/>
        <v>0</v>
      </c>
      <c r="AF132" s="168">
        <v>109</v>
      </c>
      <c r="AG132" s="213">
        <f t="shared" ca="1" si="74"/>
        <v>48467</v>
      </c>
      <c r="AH132" s="208">
        <f t="shared" si="57"/>
        <v>0</v>
      </c>
      <c r="AI132" s="215">
        <f t="shared" ca="1" si="76"/>
        <v>0</v>
      </c>
      <c r="AJ132" s="168">
        <v>109</v>
      </c>
      <c r="AK132" s="213">
        <f t="shared" ca="1" si="75"/>
        <v>48467</v>
      </c>
      <c r="AL132" s="208">
        <f t="shared" si="59"/>
        <v>0</v>
      </c>
      <c r="BC132" s="186" t="str">
        <f t="shared" si="78"/>
        <v>1PREF GRAVATAI</v>
      </c>
      <c r="BD132" s="186">
        <f t="shared" si="79"/>
        <v>1</v>
      </c>
      <c r="BE132" s="209" t="str">
        <f>'SIMULADOR COM SALDO'!BF131</f>
        <v>PREF GRAVATAI</v>
      </c>
      <c r="BF132" s="209" t="str">
        <f>'SIMULADOR COM SALDO'!BG131</f>
        <v>745745 - Tabela 3</v>
      </c>
      <c r="BG132" s="209">
        <f>'SIMULADOR COM SALDO'!BH131</f>
        <v>2.3E-2</v>
      </c>
      <c r="BH132" s="209">
        <f>'SIMULADOR COM SALDO'!BI131</f>
        <v>120</v>
      </c>
      <c r="BI132" s="209" t="str">
        <f>'SIMULADOR COM SALDO'!BJ131</f>
        <v/>
      </c>
      <c r="BJ132" s="209">
        <f>'SIMULADOR COM SALDO'!BK131</f>
        <v>2.6</v>
      </c>
      <c r="BK132" s="209">
        <f>'SIMULADOR COM SALDO'!BL131</f>
        <v>20</v>
      </c>
      <c r="BL132" s="209">
        <f>'SIMULADOR COM SALDO'!BM131</f>
        <v>63</v>
      </c>
      <c r="BM132" s="209" t="str">
        <f>'SIMULADOR COM SALDO'!BN131</f>
        <v>RFN - PREF GRAVATAI DIG PORTAB 3 PLUS</v>
      </c>
      <c r="BN132" s="209" t="str">
        <f>'SIMULADOR COM SALDO'!BO131</f>
        <v>1,9</v>
      </c>
      <c r="BO132" s="209">
        <f>'SIMULADOR COM SALDO'!BP131</f>
        <v>1.9E-2</v>
      </c>
      <c r="BP132" s="209">
        <f>'SIMULADOR COM SALDO'!BQ131</f>
        <v>2.5991326302154946E-2</v>
      </c>
      <c r="BQ132" s="209">
        <f>'SIMULADOR COM SALDO'!BR131</f>
        <v>2.6000000000000002E-2</v>
      </c>
      <c r="BR132" s="209">
        <f>'SIMULADOR COM SALDO'!BS131</f>
        <v>2.9999999999999997E-4</v>
      </c>
    </row>
    <row r="133" spans="2:70" hidden="1" x14ac:dyDescent="0.25">
      <c r="B133">
        <v>96</v>
      </c>
      <c r="C133" s="13">
        <f t="shared" ca="1" si="80"/>
        <v>48070</v>
      </c>
      <c r="D133" s="14">
        <f t="shared" si="71"/>
        <v>0</v>
      </c>
      <c r="E133" s="14">
        <f t="shared" si="77"/>
        <v>0</v>
      </c>
      <c r="F133" s="14">
        <f t="shared" si="77"/>
        <v>0</v>
      </c>
      <c r="G133" s="14">
        <f t="shared" si="77"/>
        <v>0</v>
      </c>
      <c r="H133" s="14">
        <f t="shared" si="77"/>
        <v>0</v>
      </c>
      <c r="I133" s="14">
        <f t="shared" si="77"/>
        <v>0</v>
      </c>
      <c r="J133" s="14">
        <f t="shared" si="77"/>
        <v>0</v>
      </c>
      <c r="K133" s="14">
        <f t="shared" si="77"/>
        <v>0</v>
      </c>
      <c r="L133" s="14">
        <f t="shared" si="77"/>
        <v>0</v>
      </c>
      <c r="M133" s="224">
        <f t="shared" si="77"/>
        <v>0</v>
      </c>
      <c r="P133" s="161">
        <v>118</v>
      </c>
      <c r="Q133" s="161">
        <f t="shared" si="48"/>
        <v>0</v>
      </c>
      <c r="R133" s="161">
        <f t="shared" si="60"/>
        <v>0</v>
      </c>
      <c r="S133" s="161">
        <f t="shared" si="61"/>
        <v>0</v>
      </c>
      <c r="T133" s="161">
        <f t="shared" si="62"/>
        <v>0</v>
      </c>
      <c r="U133" s="161">
        <f t="shared" si="63"/>
        <v>0</v>
      </c>
      <c r="V133" s="161">
        <f t="shared" si="64"/>
        <v>0</v>
      </c>
      <c r="W133" s="161">
        <f t="shared" si="65"/>
        <v>0</v>
      </c>
      <c r="X133" s="161">
        <f t="shared" si="66"/>
        <v>0</v>
      </c>
      <c r="Y133" s="161">
        <f t="shared" si="67"/>
        <v>0</v>
      </c>
      <c r="Z133" s="161">
        <f t="shared" si="68"/>
        <v>0</v>
      </c>
      <c r="AB133" s="168">
        <v>110</v>
      </c>
      <c r="AC133" s="213">
        <f t="shared" ca="1" si="72"/>
        <v>48497</v>
      </c>
      <c r="AD133" s="214">
        <f t="shared" si="73"/>
        <v>0</v>
      </c>
      <c r="AF133" s="168">
        <v>110</v>
      </c>
      <c r="AG133" s="213">
        <f t="shared" ca="1" si="74"/>
        <v>48497</v>
      </c>
      <c r="AH133" s="208">
        <f t="shared" si="57"/>
        <v>0</v>
      </c>
      <c r="AI133" s="215">
        <f t="shared" ca="1" si="76"/>
        <v>0</v>
      </c>
      <c r="AJ133" s="168">
        <v>110</v>
      </c>
      <c r="AK133" s="213">
        <f t="shared" ca="1" si="75"/>
        <v>48497</v>
      </c>
      <c r="AL133" s="208">
        <f t="shared" si="59"/>
        <v>0</v>
      </c>
      <c r="BC133" s="186" t="str">
        <f t="shared" si="78"/>
        <v>2PREF GRAVATAI</v>
      </c>
      <c r="BD133" s="186">
        <f t="shared" si="79"/>
        <v>2</v>
      </c>
      <c r="BE133" s="209" t="str">
        <f>'SIMULADOR COM SALDO'!BF132</f>
        <v>PREF GRAVATAI</v>
      </c>
      <c r="BF133" s="209" t="str">
        <f>'SIMULADOR COM SALDO'!BG132</f>
        <v>745746 - Tabela 3</v>
      </c>
      <c r="BG133" s="209">
        <f>'SIMULADOR COM SALDO'!BH132</f>
        <v>2.3E-2</v>
      </c>
      <c r="BH133" s="209">
        <f>'SIMULADOR COM SALDO'!BI132</f>
        <v>120</v>
      </c>
      <c r="BI133" s="209" t="str">
        <f>'SIMULADOR COM SALDO'!BJ132</f>
        <v/>
      </c>
      <c r="BJ133" s="209">
        <f>'SIMULADOR COM SALDO'!BK132</f>
        <v>2.6</v>
      </c>
      <c r="BK133" s="209">
        <f>'SIMULADOR COM SALDO'!BL132</f>
        <v>20</v>
      </c>
      <c r="BL133" s="209">
        <f>'SIMULADOR COM SALDO'!BM132</f>
        <v>41</v>
      </c>
      <c r="BM133" s="209" t="str">
        <f>'SIMULADOR COM SALDO'!BN132</f>
        <v>RFN - PREF GRAVATAI DIG PORTAB 3 CLT PLU</v>
      </c>
      <c r="BN133" s="209" t="str">
        <f>'SIMULADOR COM SALDO'!BO132</f>
        <v>1,9</v>
      </c>
      <c r="BO133" s="209">
        <f>'SIMULADOR COM SALDO'!BP132</f>
        <v>1.9E-2</v>
      </c>
      <c r="BP133" s="209">
        <f>'SIMULADOR COM SALDO'!BQ132</f>
        <v>2.5561498506928567E-2</v>
      </c>
      <c r="BQ133" s="209">
        <f>'SIMULADOR COM SALDO'!BR132</f>
        <v>2.6000000000000002E-2</v>
      </c>
      <c r="BR133" s="209">
        <f>'SIMULADOR COM SALDO'!BS132</f>
        <v>2.9999999999999997E-4</v>
      </c>
    </row>
    <row r="134" spans="2:70" hidden="1" x14ac:dyDescent="0.25">
      <c r="B134">
        <v>97</v>
      </c>
      <c r="C134" s="13">
        <f t="shared" ca="1" si="80"/>
        <v>48101</v>
      </c>
      <c r="D134" s="14">
        <f t="shared" ref="D134:D167" si="81">IF($B134&lt;=D$20,D$17/(($C$36+1)^(($C134-$C$37)/30)),0)</f>
        <v>0</v>
      </c>
      <c r="E134" s="14">
        <f t="shared" ref="E134:M149" si="82">IF($B134&lt;=E$20,E$17/(($C$36+1)^(($C134-$C$37)/30)),0)</f>
        <v>0</v>
      </c>
      <c r="F134" s="14">
        <f t="shared" si="82"/>
        <v>0</v>
      </c>
      <c r="G134" s="14">
        <f t="shared" si="82"/>
        <v>0</v>
      </c>
      <c r="H134" s="14">
        <f t="shared" si="82"/>
        <v>0</v>
      </c>
      <c r="I134" s="14">
        <f t="shared" si="82"/>
        <v>0</v>
      </c>
      <c r="J134" s="14">
        <f t="shared" si="82"/>
        <v>0</v>
      </c>
      <c r="K134" s="14">
        <f t="shared" si="82"/>
        <v>0</v>
      </c>
      <c r="L134" s="14">
        <f t="shared" si="82"/>
        <v>0</v>
      </c>
      <c r="M134" s="224">
        <f t="shared" si="82"/>
        <v>0</v>
      </c>
      <c r="P134" s="161">
        <v>119</v>
      </c>
      <c r="Q134" s="161">
        <f t="shared" si="48"/>
        <v>0</v>
      </c>
      <c r="R134" s="161">
        <f t="shared" si="60"/>
        <v>0</v>
      </c>
      <c r="S134" s="161">
        <f t="shared" si="61"/>
        <v>0</v>
      </c>
      <c r="T134" s="161">
        <f t="shared" si="62"/>
        <v>0</v>
      </c>
      <c r="U134" s="161">
        <f t="shared" si="63"/>
        <v>0</v>
      </c>
      <c r="V134" s="161">
        <f t="shared" si="64"/>
        <v>0</v>
      </c>
      <c r="W134" s="161">
        <f t="shared" si="65"/>
        <v>0</v>
      </c>
      <c r="X134" s="161">
        <f t="shared" si="66"/>
        <v>0</v>
      </c>
      <c r="Y134" s="161">
        <f t="shared" si="67"/>
        <v>0</v>
      </c>
      <c r="Z134" s="161">
        <f t="shared" si="68"/>
        <v>0</v>
      </c>
      <c r="AB134" s="168">
        <v>111</v>
      </c>
      <c r="AC134" s="213">
        <f t="shared" ca="1" si="72"/>
        <v>48528</v>
      </c>
      <c r="AD134" s="214">
        <f t="shared" si="73"/>
        <v>0</v>
      </c>
      <c r="AF134" s="168">
        <v>111</v>
      </c>
      <c r="AG134" s="213">
        <f t="shared" ca="1" si="74"/>
        <v>48528</v>
      </c>
      <c r="AH134" s="208">
        <f t="shared" si="57"/>
        <v>0</v>
      </c>
      <c r="AI134" s="215">
        <f t="shared" ca="1" si="76"/>
        <v>0</v>
      </c>
      <c r="AJ134" s="168">
        <v>111</v>
      </c>
      <c r="AK134" s="213">
        <f t="shared" ca="1" si="75"/>
        <v>48528</v>
      </c>
      <c r="AL134" s="208">
        <f t="shared" si="59"/>
        <v>0</v>
      </c>
      <c r="BC134" s="186" t="str">
        <f t="shared" si="78"/>
        <v>3PREF GRAVATAI</v>
      </c>
      <c r="BD134" s="186">
        <f t="shared" si="79"/>
        <v>3</v>
      </c>
      <c r="BE134" s="209" t="str">
        <f>'SIMULADOR COM SALDO'!BF133</f>
        <v>PREF GRAVATAI</v>
      </c>
      <c r="BF134" s="209" t="str">
        <f>'SIMULADOR COM SALDO'!BG133</f>
        <v>745747 - Tabela 4</v>
      </c>
      <c r="BG134" s="209">
        <f>'SIMULADOR COM SALDO'!BH133</f>
        <v>2.1499999999999998E-2</v>
      </c>
      <c r="BH134" s="209">
        <f>'SIMULADOR COM SALDO'!BI133</f>
        <v>120</v>
      </c>
      <c r="BI134" s="209" t="str">
        <f>'SIMULADOR COM SALDO'!BJ133</f>
        <v/>
      </c>
      <c r="BJ134" s="209">
        <f>'SIMULADOR COM SALDO'!BK133</f>
        <v>2.6</v>
      </c>
      <c r="BK134" s="209">
        <f>'SIMULADOR COM SALDO'!BL133</f>
        <v>20</v>
      </c>
      <c r="BL134" s="209">
        <f>'SIMULADOR COM SALDO'!BM133</f>
        <v>46</v>
      </c>
      <c r="BM134" s="209" t="str">
        <f>'SIMULADOR COM SALDO'!BN133</f>
        <v>RFN - PREF GRAVATAI DIG PORTAB 4 PLUS</v>
      </c>
      <c r="BN134" s="209" t="str">
        <f>'SIMULADOR COM SALDO'!BO133</f>
        <v>1,9</v>
      </c>
      <c r="BO134" s="209">
        <f>'SIMULADOR COM SALDO'!BP133</f>
        <v>1.9E-2</v>
      </c>
      <c r="BP134" s="209">
        <f>'SIMULADOR COM SALDO'!BQ133</f>
        <v>2.4293186011966551E-2</v>
      </c>
      <c r="BQ134" s="209">
        <f>'SIMULADOR COM SALDO'!BR133</f>
        <v>2.6000000000000002E-2</v>
      </c>
      <c r="BR134" s="209">
        <f>'SIMULADOR COM SALDO'!BS133</f>
        <v>2.9999999999999997E-4</v>
      </c>
    </row>
    <row r="135" spans="2:70" hidden="1" x14ac:dyDescent="0.25">
      <c r="B135">
        <v>98</v>
      </c>
      <c r="C135" s="13">
        <f t="shared" ca="1" si="80"/>
        <v>48131</v>
      </c>
      <c r="D135" s="14">
        <f t="shared" si="81"/>
        <v>0</v>
      </c>
      <c r="E135" s="14">
        <f t="shared" si="82"/>
        <v>0</v>
      </c>
      <c r="F135" s="14">
        <f t="shared" si="82"/>
        <v>0</v>
      </c>
      <c r="G135" s="14">
        <f t="shared" si="82"/>
        <v>0</v>
      </c>
      <c r="H135" s="14">
        <f t="shared" si="82"/>
        <v>0</v>
      </c>
      <c r="I135" s="14">
        <f t="shared" si="82"/>
        <v>0</v>
      </c>
      <c r="J135" s="14">
        <f t="shared" si="82"/>
        <v>0</v>
      </c>
      <c r="K135" s="14">
        <f t="shared" si="82"/>
        <v>0</v>
      </c>
      <c r="L135" s="14">
        <f t="shared" si="82"/>
        <v>0</v>
      </c>
      <c r="M135" s="224">
        <f t="shared" si="82"/>
        <v>0</v>
      </c>
      <c r="P135" s="161">
        <v>120</v>
      </c>
      <c r="Q135" s="161">
        <f t="shared" si="48"/>
        <v>0</v>
      </c>
      <c r="R135" s="161">
        <f t="shared" si="60"/>
        <v>0</v>
      </c>
      <c r="S135" s="161">
        <f t="shared" si="61"/>
        <v>0</v>
      </c>
      <c r="T135" s="161">
        <f t="shared" si="62"/>
        <v>0</v>
      </c>
      <c r="U135" s="161">
        <f t="shared" si="63"/>
        <v>0</v>
      </c>
      <c r="V135" s="161">
        <f t="shared" si="64"/>
        <v>0</v>
      </c>
      <c r="W135" s="161">
        <f t="shared" si="65"/>
        <v>0</v>
      </c>
      <c r="X135" s="161">
        <f t="shared" si="66"/>
        <v>0</v>
      </c>
      <c r="Y135" s="161">
        <f t="shared" si="67"/>
        <v>0</v>
      </c>
      <c r="Z135" s="161">
        <f t="shared" si="68"/>
        <v>0</v>
      </c>
      <c r="AB135" s="168">
        <v>112</v>
      </c>
      <c r="AC135" s="213">
        <f t="shared" ca="1" si="72"/>
        <v>48558</v>
      </c>
      <c r="AD135" s="214">
        <f t="shared" si="73"/>
        <v>0</v>
      </c>
      <c r="AF135" s="168">
        <v>112</v>
      </c>
      <c r="AG135" s="213">
        <f t="shared" ca="1" si="74"/>
        <v>48558</v>
      </c>
      <c r="AH135" s="208">
        <f t="shared" si="57"/>
        <v>0</v>
      </c>
      <c r="AI135" s="215">
        <f t="shared" ca="1" si="76"/>
        <v>0</v>
      </c>
      <c r="AJ135" s="168">
        <v>112</v>
      </c>
      <c r="AK135" s="213">
        <f t="shared" ca="1" si="75"/>
        <v>48558</v>
      </c>
      <c r="AL135" s="208">
        <f t="shared" si="59"/>
        <v>0</v>
      </c>
      <c r="BC135" s="186" t="str">
        <f t="shared" si="78"/>
        <v>1PREF GUARUJ</v>
      </c>
      <c r="BD135" s="186">
        <f t="shared" si="79"/>
        <v>1</v>
      </c>
      <c r="BE135" s="209" t="str">
        <f>'SIMULADOR COM SALDO'!BF134</f>
        <v>PREF GUARUJ</v>
      </c>
      <c r="BF135" s="209" t="str">
        <f>'SIMULADOR COM SALDO'!BG134</f>
        <v>720002 - Tabela 3</v>
      </c>
      <c r="BG135" s="209">
        <f>'SIMULADOR COM SALDO'!BH134</f>
        <v>1.9900000000000001E-2</v>
      </c>
      <c r="BH135" s="209">
        <f>'SIMULADOR COM SALDO'!BI134</f>
        <v>84</v>
      </c>
      <c r="BI135" s="209" t="str">
        <f>'SIMULADOR COM SALDO'!BJ134</f>
        <v/>
      </c>
      <c r="BJ135" s="209">
        <f>'SIMULADOR COM SALDO'!BK134</f>
        <v>2.19</v>
      </c>
      <c r="BK135" s="209">
        <f>'SIMULADOR COM SALDO'!BL134</f>
        <v>10</v>
      </c>
      <c r="BL135" s="209">
        <f>'SIMULADOR COM SALDO'!BM134</f>
        <v>49</v>
      </c>
      <c r="BM135" s="209" t="str">
        <f>'SIMULADOR COM SALDO'!BN134</f>
        <v>RFN - PREF. GUARUJA PORTABILIDADE 3</v>
      </c>
      <c r="BN135" s="209" t="str">
        <f>'SIMULADOR COM SALDO'!BO134</f>
        <v>1,74</v>
      </c>
      <c r="BO135" s="209">
        <f>'SIMULADOR COM SALDO'!BP134</f>
        <v>1.7399999999999999E-2</v>
      </c>
      <c r="BP135" s="209">
        <f>'SIMULADOR COM SALDO'!BQ134</f>
        <v>2.5660416716098009E-2</v>
      </c>
      <c r="BQ135" s="209">
        <f>'SIMULADOR COM SALDO'!BR134</f>
        <v>2.1899999999999999E-2</v>
      </c>
      <c r="BR135" s="209">
        <f>'SIMULADOR COM SALDO'!BS134</f>
        <v>2.9999999999999997E-4</v>
      </c>
    </row>
    <row r="136" spans="2:70" hidden="1" x14ac:dyDescent="0.25">
      <c r="B136">
        <v>99</v>
      </c>
      <c r="C136" s="13">
        <f t="shared" ca="1" si="80"/>
        <v>48162</v>
      </c>
      <c r="D136" s="14">
        <f t="shared" si="81"/>
        <v>0</v>
      </c>
      <c r="E136" s="14">
        <f t="shared" si="82"/>
        <v>0</v>
      </c>
      <c r="F136" s="14">
        <f t="shared" si="82"/>
        <v>0</v>
      </c>
      <c r="G136" s="14">
        <f t="shared" si="82"/>
        <v>0</v>
      </c>
      <c r="H136" s="14">
        <f t="shared" si="82"/>
        <v>0</v>
      </c>
      <c r="I136" s="14">
        <f t="shared" si="82"/>
        <v>0</v>
      </c>
      <c r="J136" s="14">
        <f t="shared" si="82"/>
        <v>0</v>
      </c>
      <c r="K136" s="14">
        <f t="shared" si="82"/>
        <v>0</v>
      </c>
      <c r="L136" s="14">
        <f t="shared" si="82"/>
        <v>0</v>
      </c>
      <c r="M136" s="224">
        <f t="shared" si="82"/>
        <v>0</v>
      </c>
      <c r="P136" s="161">
        <v>121</v>
      </c>
      <c r="Q136" s="161">
        <f t="shared" si="48"/>
        <v>0</v>
      </c>
      <c r="R136" s="161">
        <f t="shared" si="60"/>
        <v>0</v>
      </c>
      <c r="S136" s="161">
        <f t="shared" si="61"/>
        <v>0</v>
      </c>
      <c r="T136" s="161">
        <f t="shared" si="62"/>
        <v>0</v>
      </c>
      <c r="U136" s="161">
        <f t="shared" si="63"/>
        <v>0</v>
      </c>
      <c r="V136" s="161">
        <f t="shared" si="64"/>
        <v>0</v>
      </c>
      <c r="W136" s="161">
        <f t="shared" si="65"/>
        <v>0</v>
      </c>
      <c r="X136" s="161">
        <f t="shared" si="66"/>
        <v>0</v>
      </c>
      <c r="Y136" s="161">
        <f t="shared" si="67"/>
        <v>0</v>
      </c>
      <c r="Z136" s="161">
        <f t="shared" si="68"/>
        <v>0</v>
      </c>
      <c r="AB136" s="168">
        <v>113</v>
      </c>
      <c r="AC136" s="213">
        <f t="shared" ca="1" si="72"/>
        <v>48589</v>
      </c>
      <c r="AD136" s="214">
        <f t="shared" si="73"/>
        <v>0</v>
      </c>
      <c r="AF136" s="168">
        <v>113</v>
      </c>
      <c r="AG136" s="213">
        <f t="shared" ca="1" si="74"/>
        <v>48589</v>
      </c>
      <c r="AH136" s="208">
        <f t="shared" si="57"/>
        <v>0</v>
      </c>
      <c r="AI136" s="215">
        <f t="shared" ca="1" si="76"/>
        <v>0</v>
      </c>
      <c r="AJ136" s="168">
        <v>113</v>
      </c>
      <c r="AK136" s="213">
        <f t="shared" ca="1" si="75"/>
        <v>48589</v>
      </c>
      <c r="AL136" s="208">
        <f t="shared" si="59"/>
        <v>0</v>
      </c>
      <c r="BC136" s="186" t="str">
        <f t="shared" si="78"/>
        <v>1PREF GUARULHOS</v>
      </c>
      <c r="BD136" s="186">
        <f t="shared" si="79"/>
        <v>1</v>
      </c>
      <c r="BE136" s="209" t="str">
        <f>'SIMULADOR COM SALDO'!BF135</f>
        <v>PREF GUARULHOS</v>
      </c>
      <c r="BF136" s="209" t="str">
        <f>'SIMULADOR COM SALDO'!BG135</f>
        <v>795603 - Tabela 2</v>
      </c>
      <c r="BG136" s="209">
        <f>'SIMULADOR COM SALDO'!BH135</f>
        <v>2.2700000000000001E-2</v>
      </c>
      <c r="BH136" s="209">
        <f>'SIMULADOR COM SALDO'!BI135</f>
        <v>120</v>
      </c>
      <c r="BI136" s="209" t="str">
        <f>'SIMULADOR COM SALDO'!BJ135</f>
        <v/>
      </c>
      <c r="BJ136" s="209">
        <f>'SIMULADOR COM SALDO'!BK135</f>
        <v>2.37</v>
      </c>
      <c r="BK136" s="209">
        <f>'SIMULADOR COM SALDO'!BL135</f>
        <v>10</v>
      </c>
      <c r="BL136" s="209">
        <f>'SIMULADOR COM SALDO'!BM135</f>
        <v>40</v>
      </c>
      <c r="BM136" s="209" t="str">
        <f>'SIMULADOR COM SALDO'!BN135</f>
        <v>RFN - PREF. GUARULHOS DIG 2 PORTAB</v>
      </c>
      <c r="BN136" s="209" t="str">
        <f>'SIMULADOR COM SALDO'!BO135</f>
        <v>1,74</v>
      </c>
      <c r="BO136" s="209">
        <f>'SIMULADOR COM SALDO'!BP135</f>
        <v>1.7399999999999999E-2</v>
      </c>
      <c r="BP136" s="209">
        <f>'SIMULADOR COM SALDO'!BQ135</f>
        <v>2.5269750485710916E-2</v>
      </c>
      <c r="BQ136" s="209">
        <f>'SIMULADOR COM SALDO'!BR135</f>
        <v>2.3700000000000002E-2</v>
      </c>
      <c r="BR136" s="209">
        <f>'SIMULADOR COM SALDO'!BS135</f>
        <v>2.9999999999999997E-4</v>
      </c>
    </row>
    <row r="137" spans="2:70" hidden="1" x14ac:dyDescent="0.25">
      <c r="B137">
        <v>100</v>
      </c>
      <c r="C137" s="13">
        <f t="shared" ca="1" si="80"/>
        <v>48192</v>
      </c>
      <c r="D137" s="14">
        <f t="shared" si="81"/>
        <v>0</v>
      </c>
      <c r="E137" s="14">
        <f t="shared" si="82"/>
        <v>0</v>
      </c>
      <c r="F137" s="14">
        <f t="shared" si="82"/>
        <v>0</v>
      </c>
      <c r="G137" s="14">
        <f t="shared" si="82"/>
        <v>0</v>
      </c>
      <c r="H137" s="14">
        <f t="shared" si="82"/>
        <v>0</v>
      </c>
      <c r="I137" s="14">
        <f t="shared" si="82"/>
        <v>0</v>
      </c>
      <c r="J137" s="14">
        <f t="shared" si="82"/>
        <v>0</v>
      </c>
      <c r="K137" s="14">
        <f t="shared" si="82"/>
        <v>0</v>
      </c>
      <c r="L137" s="14">
        <f t="shared" si="82"/>
        <v>0</v>
      </c>
      <c r="M137" s="224">
        <f t="shared" si="82"/>
        <v>0</v>
      </c>
      <c r="P137" s="161">
        <v>122</v>
      </c>
      <c r="Q137" s="161">
        <f t="shared" si="48"/>
        <v>0</v>
      </c>
      <c r="R137" s="161">
        <f t="shared" si="60"/>
        <v>0</v>
      </c>
      <c r="S137" s="161">
        <f t="shared" si="61"/>
        <v>0</v>
      </c>
      <c r="T137" s="161">
        <f t="shared" si="62"/>
        <v>0</v>
      </c>
      <c r="U137" s="161">
        <f t="shared" si="63"/>
        <v>0</v>
      </c>
      <c r="V137" s="161">
        <f t="shared" si="64"/>
        <v>0</v>
      </c>
      <c r="W137" s="161">
        <f t="shared" si="65"/>
        <v>0</v>
      </c>
      <c r="X137" s="161">
        <f t="shared" si="66"/>
        <v>0</v>
      </c>
      <c r="Y137" s="161">
        <f t="shared" si="67"/>
        <v>0</v>
      </c>
      <c r="Z137" s="161">
        <f t="shared" si="68"/>
        <v>0</v>
      </c>
      <c r="AB137" s="168">
        <v>114</v>
      </c>
      <c r="AC137" s="213">
        <f t="shared" ca="1" si="72"/>
        <v>48620</v>
      </c>
      <c r="AD137" s="214">
        <f t="shared" si="73"/>
        <v>0</v>
      </c>
      <c r="AF137" s="168">
        <v>114</v>
      </c>
      <c r="AG137" s="213">
        <f t="shared" ca="1" si="74"/>
        <v>48620</v>
      </c>
      <c r="AH137" s="208">
        <f t="shared" si="57"/>
        <v>0</v>
      </c>
      <c r="AI137" s="215">
        <f t="shared" ca="1" si="76"/>
        <v>0</v>
      </c>
      <c r="AJ137" s="168">
        <v>114</v>
      </c>
      <c r="AK137" s="213">
        <f t="shared" ca="1" si="75"/>
        <v>48620</v>
      </c>
      <c r="AL137" s="208">
        <f t="shared" si="59"/>
        <v>0</v>
      </c>
      <c r="BC137" s="186" t="str">
        <f t="shared" si="78"/>
        <v>2PREF GUARULHOS</v>
      </c>
      <c r="BD137" s="186">
        <f t="shared" si="79"/>
        <v>2</v>
      </c>
      <c r="BE137" s="209" t="str">
        <f>'SIMULADOR COM SALDO'!BF136</f>
        <v>PREF GUARULHOS</v>
      </c>
      <c r="BF137" s="209" t="str">
        <f>'SIMULADOR COM SALDO'!BG136</f>
        <v>795605 - Tabela 3</v>
      </c>
      <c r="BG137" s="209">
        <f>'SIMULADOR COM SALDO'!BH136</f>
        <v>2.1700000000000001E-2</v>
      </c>
      <c r="BH137" s="209">
        <f>'SIMULADOR COM SALDO'!BI136</f>
        <v>120</v>
      </c>
      <c r="BI137" s="209" t="str">
        <f>'SIMULADOR COM SALDO'!BJ136</f>
        <v/>
      </c>
      <c r="BJ137" s="209">
        <f>'SIMULADOR COM SALDO'!BK136</f>
        <v>2.37</v>
      </c>
      <c r="BK137" s="209">
        <f>'SIMULADOR COM SALDO'!BL136</f>
        <v>10</v>
      </c>
      <c r="BL137" s="209">
        <f>'SIMULADOR COM SALDO'!BM136</f>
        <v>48</v>
      </c>
      <c r="BM137" s="209" t="str">
        <f>'SIMULADOR COM SALDO'!BN136</f>
        <v>RFN - PREF. GUARULHOS DIG 3 PORTAB</v>
      </c>
      <c r="BN137" s="209" t="str">
        <f>'SIMULADOR COM SALDO'!BO136</f>
        <v>1,74</v>
      </c>
      <c r="BO137" s="209">
        <f>'SIMULADOR COM SALDO'!BP136</f>
        <v>1.7399999999999999E-2</v>
      </c>
      <c r="BP137" s="209">
        <f>'SIMULADOR COM SALDO'!BQ136</f>
        <v>2.4508791748944332E-2</v>
      </c>
      <c r="BQ137" s="209">
        <f>'SIMULADOR COM SALDO'!BR136</f>
        <v>2.3700000000000002E-2</v>
      </c>
      <c r="BR137" s="209">
        <f>'SIMULADOR COM SALDO'!BS136</f>
        <v>2.9999999999999997E-4</v>
      </c>
    </row>
    <row r="138" spans="2:70" hidden="1" x14ac:dyDescent="0.25">
      <c r="B138">
        <v>101</v>
      </c>
      <c r="C138" s="13">
        <f t="shared" ca="1" si="80"/>
        <v>48223</v>
      </c>
      <c r="D138" s="14">
        <f t="shared" si="81"/>
        <v>0</v>
      </c>
      <c r="E138" s="14">
        <f t="shared" si="82"/>
        <v>0</v>
      </c>
      <c r="F138" s="14">
        <f t="shared" si="82"/>
        <v>0</v>
      </c>
      <c r="G138" s="14">
        <f t="shared" si="82"/>
        <v>0</v>
      </c>
      <c r="H138" s="14">
        <f t="shared" si="82"/>
        <v>0</v>
      </c>
      <c r="I138" s="14">
        <f t="shared" si="82"/>
        <v>0</v>
      </c>
      <c r="J138" s="14">
        <f t="shared" si="82"/>
        <v>0</v>
      </c>
      <c r="K138" s="14">
        <f t="shared" si="82"/>
        <v>0</v>
      </c>
      <c r="L138" s="14">
        <f t="shared" si="82"/>
        <v>0</v>
      </c>
      <c r="M138" s="224">
        <f t="shared" si="82"/>
        <v>0</v>
      </c>
      <c r="P138" s="161">
        <v>123</v>
      </c>
      <c r="Q138" s="161">
        <f t="shared" si="48"/>
        <v>0</v>
      </c>
      <c r="R138" s="161">
        <f t="shared" si="60"/>
        <v>0</v>
      </c>
      <c r="S138" s="161">
        <f t="shared" si="61"/>
        <v>0</v>
      </c>
      <c r="T138" s="161">
        <f t="shared" si="62"/>
        <v>0</v>
      </c>
      <c r="U138" s="161">
        <f t="shared" si="63"/>
        <v>0</v>
      </c>
      <c r="V138" s="161">
        <f t="shared" si="64"/>
        <v>0</v>
      </c>
      <c r="W138" s="161">
        <f t="shared" si="65"/>
        <v>0</v>
      </c>
      <c r="X138" s="161">
        <f t="shared" si="66"/>
        <v>0</v>
      </c>
      <c r="Y138" s="161">
        <f t="shared" si="67"/>
        <v>0</v>
      </c>
      <c r="Z138" s="161">
        <f t="shared" si="68"/>
        <v>0</v>
      </c>
      <c r="AB138" s="168">
        <v>115</v>
      </c>
      <c r="AC138" s="213">
        <f t="shared" ca="1" si="72"/>
        <v>48648</v>
      </c>
      <c r="AD138" s="214">
        <f t="shared" si="73"/>
        <v>0</v>
      </c>
      <c r="AF138" s="168">
        <v>115</v>
      </c>
      <c r="AG138" s="213">
        <f t="shared" ca="1" si="74"/>
        <v>48648</v>
      </c>
      <c r="AH138" s="208">
        <f t="shared" si="57"/>
        <v>0</v>
      </c>
      <c r="AI138" s="215">
        <f t="shared" ca="1" si="76"/>
        <v>0</v>
      </c>
      <c r="AJ138" s="168">
        <v>115</v>
      </c>
      <c r="AK138" s="213">
        <f t="shared" ca="1" si="75"/>
        <v>48648</v>
      </c>
      <c r="AL138" s="208">
        <f t="shared" si="59"/>
        <v>0</v>
      </c>
      <c r="BC138" s="186" t="str">
        <f t="shared" si="78"/>
        <v>3PREF GUARULHOS</v>
      </c>
      <c r="BD138" s="186">
        <f t="shared" si="79"/>
        <v>3</v>
      </c>
      <c r="BE138" s="209" t="str">
        <f>'SIMULADOR COM SALDO'!BF137</f>
        <v>PREF GUARULHOS</v>
      </c>
      <c r="BF138" s="209" t="str">
        <f>'SIMULADOR COM SALDO'!BG137</f>
        <v>795607 - Tabela 4</v>
      </c>
      <c r="BG138" s="209">
        <f>'SIMULADOR COM SALDO'!BH137</f>
        <v>2.07E-2</v>
      </c>
      <c r="BH138" s="209">
        <f>'SIMULADOR COM SALDO'!BI137</f>
        <v>120</v>
      </c>
      <c r="BI138" s="209" t="str">
        <f>'SIMULADOR COM SALDO'!BJ137</f>
        <v/>
      </c>
      <c r="BJ138" s="209">
        <f>'SIMULADOR COM SALDO'!BK137</f>
        <v>2.37</v>
      </c>
      <c r="BK138" s="209">
        <f>'SIMULADOR COM SALDO'!BL137</f>
        <v>10</v>
      </c>
      <c r="BL138" s="209">
        <f>'SIMULADOR COM SALDO'!BM137</f>
        <v>51</v>
      </c>
      <c r="BM138" s="209" t="str">
        <f>'SIMULADOR COM SALDO'!BN137</f>
        <v>RFN - PREF. GUARULHOS DIG 4 PORTAB</v>
      </c>
      <c r="BN138" s="209" t="str">
        <f>'SIMULADOR COM SALDO'!BO137</f>
        <v>1,74</v>
      </c>
      <c r="BO138" s="209">
        <f>'SIMULADOR COM SALDO'!BP137</f>
        <v>1.7399999999999999E-2</v>
      </c>
      <c r="BP138" s="209">
        <f>'SIMULADOR COM SALDO'!BQ137</f>
        <v>2.3656393810214987E-2</v>
      </c>
      <c r="BQ138" s="209">
        <f>'SIMULADOR COM SALDO'!BR137</f>
        <v>2.3700000000000002E-2</v>
      </c>
      <c r="BR138" s="209">
        <f>'SIMULADOR COM SALDO'!BS137</f>
        <v>2.9999999999999997E-4</v>
      </c>
    </row>
    <row r="139" spans="2:70" hidden="1" x14ac:dyDescent="0.25">
      <c r="B139">
        <v>102</v>
      </c>
      <c r="C139" s="13">
        <f t="shared" ca="1" si="80"/>
        <v>48254</v>
      </c>
      <c r="D139" s="14">
        <f t="shared" si="81"/>
        <v>0</v>
      </c>
      <c r="E139" s="14">
        <f t="shared" si="82"/>
        <v>0</v>
      </c>
      <c r="F139" s="14">
        <f t="shared" si="82"/>
        <v>0</v>
      </c>
      <c r="G139" s="14">
        <f t="shared" si="82"/>
        <v>0</v>
      </c>
      <c r="H139" s="14">
        <f t="shared" si="82"/>
        <v>0</v>
      </c>
      <c r="I139" s="14">
        <f t="shared" si="82"/>
        <v>0</v>
      </c>
      <c r="J139" s="14">
        <f t="shared" si="82"/>
        <v>0</v>
      </c>
      <c r="K139" s="14">
        <f t="shared" si="82"/>
        <v>0</v>
      </c>
      <c r="L139" s="14">
        <f t="shared" si="82"/>
        <v>0</v>
      </c>
      <c r="M139" s="224">
        <f t="shared" si="82"/>
        <v>0</v>
      </c>
      <c r="P139" s="161">
        <v>124</v>
      </c>
      <c r="Q139" s="161">
        <f t="shared" si="48"/>
        <v>0</v>
      </c>
      <c r="R139" s="161">
        <f t="shared" si="60"/>
        <v>0</v>
      </c>
      <c r="S139" s="161">
        <f t="shared" si="61"/>
        <v>0</v>
      </c>
      <c r="T139" s="161">
        <f t="shared" si="62"/>
        <v>0</v>
      </c>
      <c r="U139" s="161">
        <f t="shared" si="63"/>
        <v>0</v>
      </c>
      <c r="V139" s="161">
        <f t="shared" si="64"/>
        <v>0</v>
      </c>
      <c r="W139" s="161">
        <f t="shared" si="65"/>
        <v>0</v>
      </c>
      <c r="X139" s="161">
        <f t="shared" si="66"/>
        <v>0</v>
      </c>
      <c r="Y139" s="161">
        <f t="shared" si="67"/>
        <v>0</v>
      </c>
      <c r="Z139" s="161">
        <f t="shared" si="68"/>
        <v>0</v>
      </c>
      <c r="AB139" s="168">
        <v>116</v>
      </c>
      <c r="AC139" s="213">
        <f t="shared" ca="1" si="72"/>
        <v>48679</v>
      </c>
      <c r="AD139" s="214">
        <f t="shared" si="73"/>
        <v>0</v>
      </c>
      <c r="AF139" s="168">
        <v>116</v>
      </c>
      <c r="AG139" s="213">
        <f t="shared" ca="1" si="74"/>
        <v>48679</v>
      </c>
      <c r="AH139" s="208">
        <f t="shared" si="57"/>
        <v>0</v>
      </c>
      <c r="AI139" s="215">
        <f t="shared" ca="1" si="76"/>
        <v>0</v>
      </c>
      <c r="AJ139" s="168">
        <v>116</v>
      </c>
      <c r="AK139" s="213">
        <f t="shared" ca="1" si="75"/>
        <v>48679</v>
      </c>
      <c r="AL139" s="208">
        <f t="shared" si="59"/>
        <v>0</v>
      </c>
      <c r="BC139" s="186" t="str">
        <f t="shared" si="78"/>
        <v>4PREF GUARULHOS</v>
      </c>
      <c r="BD139" s="186">
        <f t="shared" si="79"/>
        <v>4</v>
      </c>
      <c r="BE139" s="209" t="str">
        <f>'SIMULADOR COM SALDO'!BF138</f>
        <v>PREF GUARULHOS</v>
      </c>
      <c r="BF139" s="209" t="str">
        <f>'SIMULADOR COM SALDO'!BG138</f>
        <v>795608 - Tabela 5</v>
      </c>
      <c r="BG139" s="209">
        <f>'SIMULADOR COM SALDO'!BH138</f>
        <v>1.9900000000000001E-2</v>
      </c>
      <c r="BH139" s="209">
        <f>'SIMULADOR COM SALDO'!BI138</f>
        <v>120</v>
      </c>
      <c r="BI139" s="209" t="str">
        <f>'SIMULADOR COM SALDO'!BJ138</f>
        <v/>
      </c>
      <c r="BJ139" s="209">
        <f>'SIMULADOR COM SALDO'!BK138</f>
        <v>2.37</v>
      </c>
      <c r="BK139" s="209">
        <f>'SIMULADOR COM SALDO'!BL138</f>
        <v>10</v>
      </c>
      <c r="BL139" s="209">
        <f>'SIMULADOR COM SALDO'!BM138</f>
        <v>43</v>
      </c>
      <c r="BM139" s="209" t="str">
        <f>'SIMULADOR COM SALDO'!BN138</f>
        <v>RFN - PREF. GUARULHOS DIG 5 PORTAB</v>
      </c>
      <c r="BN139" s="209" t="str">
        <f>'SIMULADOR COM SALDO'!BO138</f>
        <v>1,74</v>
      </c>
      <c r="BO139" s="209">
        <f>'SIMULADOR COM SALDO'!BP138</f>
        <v>1.7399999999999999E-2</v>
      </c>
      <c r="BP139" s="209">
        <f>'SIMULADOR COM SALDO'!BQ138</f>
        <v>2.2821176746700898E-2</v>
      </c>
      <c r="BQ139" s="209">
        <f>'SIMULADOR COM SALDO'!BR138</f>
        <v>2.3700000000000002E-2</v>
      </c>
      <c r="BR139" s="209">
        <f>'SIMULADOR COM SALDO'!BS138</f>
        <v>2.9999999999999997E-4</v>
      </c>
    </row>
    <row r="140" spans="2:70" hidden="1" x14ac:dyDescent="0.25">
      <c r="B140">
        <v>103</v>
      </c>
      <c r="C140" s="13">
        <f t="shared" ca="1" si="80"/>
        <v>48283</v>
      </c>
      <c r="D140" s="14">
        <f t="shared" si="81"/>
        <v>0</v>
      </c>
      <c r="E140" s="14">
        <f t="shared" si="82"/>
        <v>0</v>
      </c>
      <c r="F140" s="14">
        <f t="shared" si="82"/>
        <v>0</v>
      </c>
      <c r="G140" s="14">
        <f t="shared" si="82"/>
        <v>0</v>
      </c>
      <c r="H140" s="14">
        <f t="shared" si="82"/>
        <v>0</v>
      </c>
      <c r="I140" s="14">
        <f t="shared" si="82"/>
        <v>0</v>
      </c>
      <c r="J140" s="14">
        <f t="shared" si="82"/>
        <v>0</v>
      </c>
      <c r="K140" s="14">
        <f t="shared" si="82"/>
        <v>0</v>
      </c>
      <c r="L140" s="14">
        <f t="shared" si="82"/>
        <v>0</v>
      </c>
      <c r="M140" s="224">
        <f t="shared" si="82"/>
        <v>0</v>
      </c>
      <c r="P140" s="161">
        <v>125</v>
      </c>
      <c r="Q140" s="161">
        <f t="shared" si="48"/>
        <v>0</v>
      </c>
      <c r="R140" s="161">
        <f t="shared" si="60"/>
        <v>0</v>
      </c>
      <c r="S140" s="161">
        <f t="shared" si="61"/>
        <v>0</v>
      </c>
      <c r="T140" s="161">
        <f t="shared" si="62"/>
        <v>0</v>
      </c>
      <c r="U140" s="161">
        <f t="shared" si="63"/>
        <v>0</v>
      </c>
      <c r="V140" s="161">
        <f t="shared" si="64"/>
        <v>0</v>
      </c>
      <c r="W140" s="161">
        <f t="shared" si="65"/>
        <v>0</v>
      </c>
      <c r="X140" s="161">
        <f t="shared" si="66"/>
        <v>0</v>
      </c>
      <c r="Y140" s="161">
        <f t="shared" si="67"/>
        <v>0</v>
      </c>
      <c r="Z140" s="161">
        <f t="shared" si="68"/>
        <v>0</v>
      </c>
      <c r="AB140" s="168">
        <v>117</v>
      </c>
      <c r="AC140" s="213">
        <f t="shared" ca="1" si="72"/>
        <v>48709</v>
      </c>
      <c r="AD140" s="214">
        <f t="shared" si="73"/>
        <v>0</v>
      </c>
      <c r="AF140" s="168">
        <v>117</v>
      </c>
      <c r="AG140" s="213">
        <f t="shared" ca="1" si="74"/>
        <v>48709</v>
      </c>
      <c r="AH140" s="208">
        <f t="shared" si="57"/>
        <v>0</v>
      </c>
      <c r="AI140" s="215">
        <f t="shared" ca="1" si="76"/>
        <v>0</v>
      </c>
      <c r="AJ140" s="168">
        <v>117</v>
      </c>
      <c r="AK140" s="213">
        <f t="shared" ca="1" si="75"/>
        <v>48709</v>
      </c>
      <c r="AL140" s="208">
        <f t="shared" si="59"/>
        <v>0</v>
      </c>
      <c r="BC140" s="186" t="str">
        <f t="shared" si="78"/>
        <v>1PREF ITANHA</v>
      </c>
      <c r="BD140" s="186">
        <f t="shared" si="79"/>
        <v>1</v>
      </c>
      <c r="BE140" s="209" t="str">
        <f>'SIMULADOR COM SALDO'!BF139</f>
        <v>PREF ITANHA</v>
      </c>
      <c r="BF140" s="209" t="str">
        <f>'SIMULADOR COM SALDO'!BG139</f>
        <v>745882 - Tabela 2</v>
      </c>
      <c r="BG140" s="209">
        <f>'SIMULADOR COM SALDO'!BH139</f>
        <v>2.0899999999999998E-2</v>
      </c>
      <c r="BH140" s="209">
        <f>'SIMULADOR COM SALDO'!BI139</f>
        <v>120</v>
      </c>
      <c r="BI140" s="209" t="str">
        <f>'SIMULADOR COM SALDO'!BJ139</f>
        <v/>
      </c>
      <c r="BJ140" s="209">
        <f>'SIMULADOR COM SALDO'!BK139</f>
        <v>2.19</v>
      </c>
      <c r="BK140" s="209">
        <f>'SIMULADOR COM SALDO'!BL139</f>
        <v>15</v>
      </c>
      <c r="BL140" s="209">
        <f>'SIMULADOR COM SALDO'!BM139</f>
        <v>33</v>
      </c>
      <c r="BM140" s="209" t="str">
        <f>'SIMULADOR COM SALDO'!BN139</f>
        <v>RFN - PREF. ITANHAEM DIG 2 PORTAB</v>
      </c>
      <c r="BN140" s="209" t="str">
        <f>'SIMULADOR COM SALDO'!BO139</f>
        <v>1,64</v>
      </c>
      <c r="BO140" s="209">
        <f>'SIMULADOR COM SALDO'!BP139</f>
        <v>1.6399999999999998E-2</v>
      </c>
      <c r="BP140" s="209">
        <f>'SIMULADOR COM SALDO'!BQ139</f>
        <v>2.3542415943940857E-2</v>
      </c>
      <c r="BQ140" s="209">
        <f>'SIMULADOR COM SALDO'!BR139</f>
        <v>2.1899999999999999E-2</v>
      </c>
      <c r="BR140" s="209">
        <f>'SIMULADOR COM SALDO'!BS139</f>
        <v>2.9999999999999997E-4</v>
      </c>
    </row>
    <row r="141" spans="2:70" hidden="1" x14ac:dyDescent="0.25">
      <c r="B141">
        <v>104</v>
      </c>
      <c r="C141" s="13">
        <f t="shared" ca="1" si="80"/>
        <v>48314</v>
      </c>
      <c r="D141" s="14">
        <f t="shared" si="81"/>
        <v>0</v>
      </c>
      <c r="E141" s="14">
        <f t="shared" si="82"/>
        <v>0</v>
      </c>
      <c r="F141" s="14">
        <f t="shared" si="82"/>
        <v>0</v>
      </c>
      <c r="G141" s="14">
        <f t="shared" si="82"/>
        <v>0</v>
      </c>
      <c r="H141" s="14">
        <f t="shared" si="82"/>
        <v>0</v>
      </c>
      <c r="I141" s="14">
        <f t="shared" si="82"/>
        <v>0</v>
      </c>
      <c r="J141" s="14">
        <f t="shared" si="82"/>
        <v>0</v>
      </c>
      <c r="K141" s="14">
        <f t="shared" si="82"/>
        <v>0</v>
      </c>
      <c r="L141" s="14">
        <f t="shared" si="82"/>
        <v>0</v>
      </c>
      <c r="M141" s="224">
        <f t="shared" si="82"/>
        <v>0</v>
      </c>
      <c r="P141" s="161">
        <v>126</v>
      </c>
      <c r="Q141" s="161">
        <f t="shared" si="48"/>
        <v>0</v>
      </c>
      <c r="R141" s="161">
        <f t="shared" si="60"/>
        <v>0</v>
      </c>
      <c r="S141" s="161">
        <f t="shared" si="61"/>
        <v>0</v>
      </c>
      <c r="T141" s="161">
        <f t="shared" si="62"/>
        <v>0</v>
      </c>
      <c r="U141" s="161">
        <f t="shared" si="63"/>
        <v>0</v>
      </c>
      <c r="V141" s="161">
        <f t="shared" si="64"/>
        <v>0</v>
      </c>
      <c r="W141" s="161">
        <f t="shared" si="65"/>
        <v>0</v>
      </c>
      <c r="X141" s="161">
        <f t="shared" si="66"/>
        <v>0</v>
      </c>
      <c r="Y141" s="161">
        <f t="shared" si="67"/>
        <v>0</v>
      </c>
      <c r="Z141" s="161">
        <f t="shared" si="68"/>
        <v>0</v>
      </c>
      <c r="AB141" s="168">
        <v>118</v>
      </c>
      <c r="AC141" s="213">
        <f t="shared" ca="1" si="72"/>
        <v>48740</v>
      </c>
      <c r="AD141" s="214">
        <f t="shared" si="73"/>
        <v>0</v>
      </c>
      <c r="AF141" s="168">
        <v>118</v>
      </c>
      <c r="AG141" s="213">
        <f t="shared" ca="1" si="74"/>
        <v>48740</v>
      </c>
      <c r="AH141" s="208">
        <f t="shared" si="57"/>
        <v>0</v>
      </c>
      <c r="AI141" s="215">
        <f t="shared" ca="1" si="76"/>
        <v>0</v>
      </c>
      <c r="AJ141" s="168">
        <v>118</v>
      </c>
      <c r="AK141" s="213">
        <f t="shared" ca="1" si="75"/>
        <v>48740</v>
      </c>
      <c r="AL141" s="208">
        <f t="shared" si="59"/>
        <v>0</v>
      </c>
      <c r="BC141" s="186" t="str">
        <f t="shared" si="78"/>
        <v>1PREF JUIZ FORA</v>
      </c>
      <c r="BD141" s="186">
        <f t="shared" si="79"/>
        <v>1</v>
      </c>
      <c r="BE141" s="209" t="str">
        <f>'SIMULADOR COM SALDO'!BF140</f>
        <v>PREF JUIZ FORA</v>
      </c>
      <c r="BF141" s="209" t="str">
        <f>'SIMULADOR COM SALDO'!BG140</f>
        <v>795161 - Tabela 1</v>
      </c>
      <c r="BG141" s="209">
        <f>'SIMULADOR COM SALDO'!BH140</f>
        <v>1.8500000000000003E-2</v>
      </c>
      <c r="BH141" s="209">
        <f>'SIMULADOR COM SALDO'!BI140</f>
        <v>120</v>
      </c>
      <c r="BI141" s="209" t="str">
        <f>'SIMULADOR COM SALDO'!BJ140</f>
        <v/>
      </c>
      <c r="BJ141" s="209">
        <f>'SIMULADOR COM SALDO'!BK140</f>
        <v>2.4</v>
      </c>
      <c r="BK141" s="209">
        <f>'SIMULADOR COM SALDO'!BL140</f>
        <v>20</v>
      </c>
      <c r="BL141" s="209">
        <f>'SIMULADOR COM SALDO'!BM140</f>
        <v>70</v>
      </c>
      <c r="BM141" s="209" t="str">
        <f>'SIMULADOR COM SALDO'!BN140</f>
        <v>RFN - PREF. JUIZ DE FORA PORTAB 1 DIG</v>
      </c>
      <c r="BN141" s="209" t="str">
        <f>'SIMULADOR COM SALDO'!BO140</f>
        <v>1,65</v>
      </c>
      <c r="BO141" s="209">
        <f>'SIMULADOR COM SALDO'!BP140</f>
        <v>1.6500000000000001E-2</v>
      </c>
      <c r="BP141" s="209">
        <f>'SIMULADOR COM SALDO'!BQ140</f>
        <v>2.1964072229552579E-2</v>
      </c>
      <c r="BQ141" s="209">
        <f>'SIMULADOR COM SALDO'!BR140</f>
        <v>2.4E-2</v>
      </c>
      <c r="BR141" s="209">
        <f>'SIMULADOR COM SALDO'!BS140</f>
        <v>2.9999999999999997E-4</v>
      </c>
    </row>
    <row r="142" spans="2:70" hidden="1" x14ac:dyDescent="0.25">
      <c r="B142">
        <v>105</v>
      </c>
      <c r="C142" s="13">
        <f t="shared" ca="1" si="80"/>
        <v>48344</v>
      </c>
      <c r="D142" s="14">
        <f t="shared" si="81"/>
        <v>0</v>
      </c>
      <c r="E142" s="14">
        <f t="shared" si="82"/>
        <v>0</v>
      </c>
      <c r="F142" s="14">
        <f t="shared" si="82"/>
        <v>0</v>
      </c>
      <c r="G142" s="14">
        <f t="shared" si="82"/>
        <v>0</v>
      </c>
      <c r="H142" s="14">
        <f t="shared" si="82"/>
        <v>0</v>
      </c>
      <c r="I142" s="14">
        <f t="shared" si="82"/>
        <v>0</v>
      </c>
      <c r="J142" s="14">
        <f t="shared" si="82"/>
        <v>0</v>
      </c>
      <c r="K142" s="14">
        <f t="shared" si="82"/>
        <v>0</v>
      </c>
      <c r="L142" s="14">
        <f t="shared" si="82"/>
        <v>0</v>
      </c>
      <c r="M142" s="224">
        <f t="shared" si="82"/>
        <v>0</v>
      </c>
      <c r="P142" s="161">
        <v>127</v>
      </c>
      <c r="Q142" s="161">
        <f t="shared" si="48"/>
        <v>0</v>
      </c>
      <c r="R142" s="161">
        <f t="shared" si="60"/>
        <v>0</v>
      </c>
      <c r="S142" s="161">
        <f t="shared" si="61"/>
        <v>0</v>
      </c>
      <c r="T142" s="161">
        <f t="shared" si="62"/>
        <v>0</v>
      </c>
      <c r="U142" s="161">
        <f t="shared" si="63"/>
        <v>0</v>
      </c>
      <c r="V142" s="161">
        <f t="shared" si="64"/>
        <v>0</v>
      </c>
      <c r="W142" s="161">
        <f t="shared" si="65"/>
        <v>0</v>
      </c>
      <c r="X142" s="161">
        <f t="shared" si="66"/>
        <v>0</v>
      </c>
      <c r="Y142" s="161">
        <f t="shared" si="67"/>
        <v>0</v>
      </c>
      <c r="Z142" s="161">
        <f t="shared" si="68"/>
        <v>0</v>
      </c>
      <c r="AB142" s="168">
        <v>119</v>
      </c>
      <c r="AC142" s="213">
        <f t="shared" ca="1" si="72"/>
        <v>48770</v>
      </c>
      <c r="AD142" s="214">
        <f t="shared" si="73"/>
        <v>0</v>
      </c>
      <c r="AF142" s="168">
        <v>119</v>
      </c>
      <c r="AG142" s="213">
        <f t="shared" ca="1" si="74"/>
        <v>48770</v>
      </c>
      <c r="AH142" s="208">
        <f t="shared" si="57"/>
        <v>0</v>
      </c>
      <c r="AI142" s="215">
        <f t="shared" ca="1" si="76"/>
        <v>0</v>
      </c>
      <c r="AJ142" s="168">
        <v>119</v>
      </c>
      <c r="AK142" s="213">
        <f t="shared" ca="1" si="75"/>
        <v>48770</v>
      </c>
      <c r="AL142" s="208">
        <f t="shared" si="59"/>
        <v>0</v>
      </c>
      <c r="BC142" s="186" t="str">
        <f t="shared" si="78"/>
        <v>1PREF MANAUS.</v>
      </c>
      <c r="BD142" s="186">
        <f t="shared" si="79"/>
        <v>1</v>
      </c>
      <c r="BE142" s="209" t="str">
        <f>'SIMULADOR COM SALDO'!BF141</f>
        <v>PREF MANAUS.</v>
      </c>
      <c r="BF142" s="209" t="str">
        <f>'SIMULADOR COM SALDO'!BG141</f>
        <v>793281 - Tabela 1</v>
      </c>
      <c r="BG142" s="209">
        <f>'SIMULADOR COM SALDO'!BH141</f>
        <v>2.5499999999999998E-2</v>
      </c>
      <c r="BH142" s="209">
        <f>'SIMULADOR COM SALDO'!BI141</f>
        <v>96</v>
      </c>
      <c r="BI142" s="209" t="str">
        <f>'SIMULADOR COM SALDO'!BJ141</f>
        <v/>
      </c>
      <c r="BJ142" s="209">
        <f>'SIMULADOR COM SALDO'!BK141</f>
        <v>2.5</v>
      </c>
      <c r="BK142" s="209">
        <f>'SIMULADOR COM SALDO'!BL141</f>
        <v>20</v>
      </c>
      <c r="BL142" s="209">
        <f>'SIMULADOR COM SALDO'!BM141</f>
        <v>68</v>
      </c>
      <c r="BM142" s="209" t="str">
        <f>'SIMULADOR COM SALDO'!BN141</f>
        <v>RFN - PREF. MANAUS DIG 1 PORTAB</v>
      </c>
      <c r="BN142" s="209" t="str">
        <f>'SIMULADOR COM SALDO'!BO141</f>
        <v>2,1</v>
      </c>
      <c r="BO142" s="209">
        <f>'SIMULADOR COM SALDO'!BP141</f>
        <v>2.1000000000000001E-2</v>
      </c>
      <c r="BP142" s="209">
        <f>'SIMULADOR COM SALDO'!BQ141</f>
        <v>2.9775524895414272E-2</v>
      </c>
      <c r="BQ142" s="209">
        <f>'SIMULADOR COM SALDO'!BR141</f>
        <v>2.5000000000000001E-2</v>
      </c>
      <c r="BR142" s="209">
        <f>'SIMULADOR COM SALDO'!BS141</f>
        <v>2.9999999999999997E-4</v>
      </c>
    </row>
    <row r="143" spans="2:70" hidden="1" x14ac:dyDescent="0.25">
      <c r="B143">
        <v>106</v>
      </c>
      <c r="C143" s="13">
        <f t="shared" ca="1" si="80"/>
        <v>48375</v>
      </c>
      <c r="D143" s="14">
        <f t="shared" si="81"/>
        <v>0</v>
      </c>
      <c r="E143" s="14">
        <f t="shared" si="82"/>
        <v>0</v>
      </c>
      <c r="F143" s="14">
        <f t="shared" si="82"/>
        <v>0</v>
      </c>
      <c r="G143" s="14">
        <f t="shared" si="82"/>
        <v>0</v>
      </c>
      <c r="H143" s="14">
        <f t="shared" si="82"/>
        <v>0</v>
      </c>
      <c r="I143" s="14">
        <f t="shared" si="82"/>
        <v>0</v>
      </c>
      <c r="J143" s="14">
        <f t="shared" si="82"/>
        <v>0</v>
      </c>
      <c r="K143" s="14">
        <f t="shared" si="82"/>
        <v>0</v>
      </c>
      <c r="L143" s="14">
        <f t="shared" si="82"/>
        <v>0</v>
      </c>
      <c r="M143" s="224">
        <f t="shared" si="82"/>
        <v>0</v>
      </c>
      <c r="P143" s="161">
        <v>128</v>
      </c>
      <c r="Q143" s="161">
        <f t="shared" si="48"/>
        <v>0</v>
      </c>
      <c r="R143" s="161">
        <f t="shared" si="60"/>
        <v>0</v>
      </c>
      <c r="S143" s="161">
        <f t="shared" si="61"/>
        <v>0</v>
      </c>
      <c r="T143" s="161">
        <f t="shared" si="62"/>
        <v>0</v>
      </c>
      <c r="U143" s="161">
        <f t="shared" si="63"/>
        <v>0</v>
      </c>
      <c r="V143" s="161">
        <f t="shared" si="64"/>
        <v>0</v>
      </c>
      <c r="W143" s="161">
        <f t="shared" si="65"/>
        <v>0</v>
      </c>
      <c r="X143" s="161">
        <f t="shared" si="66"/>
        <v>0</v>
      </c>
      <c r="Y143" s="161">
        <f t="shared" si="67"/>
        <v>0</v>
      </c>
      <c r="Z143" s="161">
        <f t="shared" si="68"/>
        <v>0</v>
      </c>
      <c r="AB143" s="168">
        <v>120</v>
      </c>
      <c r="AC143" s="213">
        <f t="shared" ca="1" si="72"/>
        <v>48801</v>
      </c>
      <c r="AD143" s="214">
        <f t="shared" si="73"/>
        <v>0</v>
      </c>
      <c r="AF143" s="168">
        <v>120</v>
      </c>
      <c r="AG143" s="213">
        <f t="shared" ca="1" si="74"/>
        <v>48801</v>
      </c>
      <c r="AH143" s="208">
        <f t="shared" si="57"/>
        <v>0</v>
      </c>
      <c r="AI143" s="215">
        <f t="shared" ca="1" si="76"/>
        <v>0</v>
      </c>
      <c r="AJ143" s="168">
        <v>120</v>
      </c>
      <c r="AK143" s="213">
        <f t="shared" ca="1" si="75"/>
        <v>48801</v>
      </c>
      <c r="AL143" s="208">
        <f t="shared" si="59"/>
        <v>0</v>
      </c>
      <c r="BC143" s="186" t="str">
        <f t="shared" si="78"/>
        <v>2PREF MANAUS.</v>
      </c>
      <c r="BD143" s="186">
        <f t="shared" si="79"/>
        <v>2</v>
      </c>
      <c r="BE143" s="209" t="str">
        <f>'SIMULADOR COM SALDO'!BF142</f>
        <v>PREF MANAUS.</v>
      </c>
      <c r="BF143" s="209" t="str">
        <f>'SIMULADOR COM SALDO'!BG142</f>
        <v>793282 - Tabela 2</v>
      </c>
      <c r="BG143" s="209">
        <f>'SIMULADOR COM SALDO'!BH142</f>
        <v>2.4500000000000001E-2</v>
      </c>
      <c r="BH143" s="209">
        <f>'SIMULADOR COM SALDO'!BI142</f>
        <v>96</v>
      </c>
      <c r="BI143" s="209" t="str">
        <f>'SIMULADOR COM SALDO'!BJ142</f>
        <v/>
      </c>
      <c r="BJ143" s="209">
        <f>'SIMULADOR COM SALDO'!BK142</f>
        <v>2.5</v>
      </c>
      <c r="BK143" s="209">
        <f>'SIMULADOR COM SALDO'!BL142</f>
        <v>20</v>
      </c>
      <c r="BL143" s="209">
        <f>'SIMULADOR COM SALDO'!BM142</f>
        <v>61</v>
      </c>
      <c r="BM143" s="209" t="str">
        <f>'SIMULADOR COM SALDO'!BN142</f>
        <v>RFN - PREF. MANAUS DIG 2 PORTAB</v>
      </c>
      <c r="BN143" s="209" t="str">
        <f>'SIMULADOR COM SALDO'!BO142</f>
        <v>2,1</v>
      </c>
      <c r="BO143" s="209">
        <f>'SIMULADOR COM SALDO'!BP142</f>
        <v>2.1000000000000001E-2</v>
      </c>
      <c r="BP143" s="209">
        <f>'SIMULADOR COM SALDO'!BQ142</f>
        <v>2.8687330570859398E-2</v>
      </c>
      <c r="BQ143" s="209">
        <f>'SIMULADOR COM SALDO'!BR142</f>
        <v>2.5000000000000001E-2</v>
      </c>
      <c r="BR143" s="209">
        <f>'SIMULADOR COM SALDO'!BS142</f>
        <v>2.9999999999999997E-4</v>
      </c>
    </row>
    <row r="144" spans="2:70" hidden="1" x14ac:dyDescent="0.25">
      <c r="B144">
        <v>107</v>
      </c>
      <c r="C144" s="13">
        <f t="shared" ca="1" si="80"/>
        <v>48405</v>
      </c>
      <c r="D144" s="14">
        <f t="shared" si="81"/>
        <v>0</v>
      </c>
      <c r="E144" s="14">
        <f t="shared" si="82"/>
        <v>0</v>
      </c>
      <c r="F144" s="14">
        <f t="shared" si="82"/>
        <v>0</v>
      </c>
      <c r="G144" s="14">
        <f t="shared" si="82"/>
        <v>0</v>
      </c>
      <c r="H144" s="14">
        <f t="shared" si="82"/>
        <v>0</v>
      </c>
      <c r="I144" s="14">
        <f t="shared" si="82"/>
        <v>0</v>
      </c>
      <c r="J144" s="14">
        <f t="shared" si="82"/>
        <v>0</v>
      </c>
      <c r="K144" s="14">
        <f t="shared" si="82"/>
        <v>0</v>
      </c>
      <c r="L144" s="14">
        <f t="shared" si="82"/>
        <v>0</v>
      </c>
      <c r="M144" s="224">
        <f t="shared" si="82"/>
        <v>0</v>
      </c>
      <c r="P144" s="161">
        <v>129</v>
      </c>
      <c r="Q144" s="161">
        <f t="shared" si="48"/>
        <v>0</v>
      </c>
      <c r="R144" s="161">
        <f t="shared" si="60"/>
        <v>0</v>
      </c>
      <c r="S144" s="161">
        <f t="shared" si="61"/>
        <v>0</v>
      </c>
      <c r="T144" s="161">
        <f t="shared" si="62"/>
        <v>0</v>
      </c>
      <c r="U144" s="161">
        <f t="shared" si="63"/>
        <v>0</v>
      </c>
      <c r="V144" s="161">
        <f t="shared" si="64"/>
        <v>0</v>
      </c>
      <c r="W144" s="161">
        <f t="shared" si="65"/>
        <v>0</v>
      </c>
      <c r="X144" s="161">
        <f t="shared" si="66"/>
        <v>0</v>
      </c>
      <c r="Y144" s="161">
        <f t="shared" si="67"/>
        <v>0</v>
      </c>
      <c r="Z144" s="161">
        <f t="shared" si="68"/>
        <v>0</v>
      </c>
      <c r="AB144" s="168">
        <v>121</v>
      </c>
      <c r="AC144" s="213">
        <f t="shared" ca="1" si="72"/>
        <v>48832</v>
      </c>
      <c r="AD144" s="214">
        <f t="shared" si="73"/>
        <v>0</v>
      </c>
      <c r="AF144" s="168">
        <v>121</v>
      </c>
      <c r="AG144" s="213">
        <f t="shared" ca="1" si="74"/>
        <v>48832</v>
      </c>
      <c r="AH144" s="208">
        <f t="shared" si="57"/>
        <v>0</v>
      </c>
      <c r="AI144" s="215">
        <f t="shared" ca="1" si="76"/>
        <v>0</v>
      </c>
      <c r="AJ144" s="168">
        <v>121</v>
      </c>
      <c r="AK144" s="213">
        <f t="shared" ca="1" si="75"/>
        <v>48832</v>
      </c>
      <c r="AL144" s="208">
        <f t="shared" si="59"/>
        <v>0</v>
      </c>
      <c r="BC144" s="186" t="str">
        <f t="shared" si="78"/>
        <v>3PREF MANAUS.</v>
      </c>
      <c r="BD144" s="186">
        <f t="shared" si="79"/>
        <v>3</v>
      </c>
      <c r="BE144" s="209" t="str">
        <f>'SIMULADOR COM SALDO'!BF143</f>
        <v>PREF MANAUS.</v>
      </c>
      <c r="BF144" s="209" t="str">
        <f>'SIMULADOR COM SALDO'!BG143</f>
        <v>793283 - Tabela 3</v>
      </c>
      <c r="BG144" s="209">
        <f>'SIMULADOR COM SALDO'!BH143</f>
        <v>2.35E-2</v>
      </c>
      <c r="BH144" s="209">
        <f>'SIMULADOR COM SALDO'!BI143</f>
        <v>96</v>
      </c>
      <c r="BI144" s="209" t="str">
        <f>'SIMULADOR COM SALDO'!BJ143</f>
        <v/>
      </c>
      <c r="BJ144" s="209">
        <f>'SIMULADOR COM SALDO'!BK143</f>
        <v>2.5</v>
      </c>
      <c r="BK144" s="209">
        <f>'SIMULADOR COM SALDO'!BL143</f>
        <v>20</v>
      </c>
      <c r="BL144" s="209">
        <f>'SIMULADOR COM SALDO'!BM143</f>
        <v>63</v>
      </c>
      <c r="BM144" s="209" t="str">
        <f>'SIMULADOR COM SALDO'!BN143</f>
        <v>RFN - PREF. MANAUS DIG 3 PORTAB</v>
      </c>
      <c r="BN144" s="209" t="str">
        <f>'SIMULADOR COM SALDO'!BO143</f>
        <v>2,1</v>
      </c>
      <c r="BO144" s="209">
        <f>'SIMULADOR COM SALDO'!BP143</f>
        <v>2.1000000000000001E-2</v>
      </c>
      <c r="BP144" s="209">
        <f>'SIMULADOR COM SALDO'!BQ143</f>
        <v>2.7828143187426675E-2</v>
      </c>
      <c r="BQ144" s="209">
        <f>'SIMULADOR COM SALDO'!BR143</f>
        <v>2.5000000000000001E-2</v>
      </c>
      <c r="BR144" s="209">
        <f>'SIMULADOR COM SALDO'!BS143</f>
        <v>2.9999999999999997E-4</v>
      </c>
    </row>
    <row r="145" spans="2:70" hidden="1" x14ac:dyDescent="0.25">
      <c r="B145">
        <v>108</v>
      </c>
      <c r="C145" s="13">
        <f t="shared" ca="1" si="80"/>
        <v>48436</v>
      </c>
      <c r="D145" s="14">
        <f t="shared" si="81"/>
        <v>0</v>
      </c>
      <c r="E145" s="14">
        <f t="shared" si="82"/>
        <v>0</v>
      </c>
      <c r="F145" s="14">
        <f t="shared" si="82"/>
        <v>0</v>
      </c>
      <c r="G145" s="14">
        <f t="shared" si="82"/>
        <v>0</v>
      </c>
      <c r="H145" s="14">
        <f t="shared" si="82"/>
        <v>0</v>
      </c>
      <c r="I145" s="14">
        <f t="shared" si="82"/>
        <v>0</v>
      </c>
      <c r="J145" s="14">
        <f t="shared" si="82"/>
        <v>0</v>
      </c>
      <c r="K145" s="14">
        <f t="shared" si="82"/>
        <v>0</v>
      </c>
      <c r="L145" s="14">
        <f t="shared" si="82"/>
        <v>0</v>
      </c>
      <c r="M145" s="224">
        <f t="shared" si="82"/>
        <v>0</v>
      </c>
      <c r="P145" s="161">
        <v>130</v>
      </c>
      <c r="Q145" s="161">
        <f t="shared" ref="Q145:Q159" si="83">IF($P145&lt;=D$20,D$17,0)</f>
        <v>0</v>
      </c>
      <c r="R145" s="161">
        <f t="shared" si="60"/>
        <v>0</v>
      </c>
      <c r="S145" s="161">
        <f t="shared" si="61"/>
        <v>0</v>
      </c>
      <c r="T145" s="161">
        <f t="shared" si="62"/>
        <v>0</v>
      </c>
      <c r="U145" s="161">
        <f t="shared" si="63"/>
        <v>0</v>
      </c>
      <c r="V145" s="161">
        <f t="shared" si="64"/>
        <v>0</v>
      </c>
      <c r="W145" s="161">
        <f t="shared" si="65"/>
        <v>0</v>
      </c>
      <c r="X145" s="161">
        <f t="shared" si="66"/>
        <v>0</v>
      </c>
      <c r="Y145" s="161">
        <f t="shared" si="67"/>
        <v>0</v>
      </c>
      <c r="Z145" s="161">
        <f t="shared" si="68"/>
        <v>0</v>
      </c>
      <c r="AB145" s="168">
        <v>122</v>
      </c>
      <c r="AC145" s="213">
        <f t="shared" ca="1" si="72"/>
        <v>48862</v>
      </c>
      <c r="AD145" s="214">
        <f t="shared" si="73"/>
        <v>0</v>
      </c>
      <c r="AF145" s="168">
        <v>122</v>
      </c>
      <c r="AG145" s="213">
        <f t="shared" ca="1" si="74"/>
        <v>48862</v>
      </c>
      <c r="AH145" s="208">
        <f t="shared" si="57"/>
        <v>0</v>
      </c>
      <c r="AI145" s="215">
        <f t="shared" ca="1" si="76"/>
        <v>0</v>
      </c>
      <c r="AJ145" s="168">
        <v>122</v>
      </c>
      <c r="AK145" s="213">
        <f t="shared" ca="1" si="75"/>
        <v>48862</v>
      </c>
      <c r="AL145" s="208">
        <f t="shared" si="59"/>
        <v>0</v>
      </c>
      <c r="BC145" s="186" t="str">
        <f t="shared" si="78"/>
        <v>1PREF OLINDA</v>
      </c>
      <c r="BD145" s="186">
        <f t="shared" si="79"/>
        <v>1</v>
      </c>
      <c r="BE145" s="209" t="str">
        <f>'SIMULADOR COM SALDO'!BF144</f>
        <v>PREF OLINDA</v>
      </c>
      <c r="BF145" s="209" t="str">
        <f>'SIMULADOR COM SALDO'!BG144</f>
        <v>705481 - Tabela 1</v>
      </c>
      <c r="BG145" s="209">
        <f>'SIMULADOR COM SALDO'!BH144</f>
        <v>2.2499999999999999E-2</v>
      </c>
      <c r="BH145" s="209">
        <f>'SIMULADOR COM SALDO'!BI144</f>
        <v>120</v>
      </c>
      <c r="BI145" s="209" t="str">
        <f>'SIMULADOR COM SALDO'!BJ144</f>
        <v/>
      </c>
      <c r="BJ145" s="209">
        <f>'SIMULADOR COM SALDO'!BK144</f>
        <v>5</v>
      </c>
      <c r="BK145" s="209">
        <f>'SIMULADOR COM SALDO'!BL144</f>
        <v>20</v>
      </c>
      <c r="BL145" s="209">
        <f>'SIMULADOR COM SALDO'!BM144</f>
        <v>55</v>
      </c>
      <c r="BM145" s="209" t="str">
        <f>'SIMULADOR COM SALDO'!BN144</f>
        <v>RFN - PREF OLINDA DIG PORTAB 1</v>
      </c>
      <c r="BN145" s="209" t="str">
        <f>'SIMULADOR COM SALDO'!BO144</f>
        <v>2</v>
      </c>
      <c r="BO145" s="209">
        <f>'SIMULADOR COM SALDO'!BP144</f>
        <v>0.02</v>
      </c>
      <c r="BP145" s="209">
        <f>'SIMULADOR COM SALDO'!BQ144</f>
        <v>2.5369377612286227E-2</v>
      </c>
      <c r="BQ145" s="209">
        <f>'SIMULADOR COM SALDO'!BR144</f>
        <v>0.05</v>
      </c>
      <c r="BR145" s="209">
        <f>'SIMULADOR COM SALDO'!BS144</f>
        <v>2.9999999999999997E-4</v>
      </c>
    </row>
    <row r="146" spans="2:70" hidden="1" x14ac:dyDescent="0.25">
      <c r="B146">
        <v>109</v>
      </c>
      <c r="C146" s="13">
        <f t="shared" ca="1" si="80"/>
        <v>48467</v>
      </c>
      <c r="D146" s="14">
        <f t="shared" si="81"/>
        <v>0</v>
      </c>
      <c r="E146" s="14">
        <f t="shared" si="82"/>
        <v>0</v>
      </c>
      <c r="F146" s="14">
        <f t="shared" si="82"/>
        <v>0</v>
      </c>
      <c r="G146" s="14">
        <f t="shared" si="82"/>
        <v>0</v>
      </c>
      <c r="H146" s="14">
        <f t="shared" si="82"/>
        <v>0</v>
      </c>
      <c r="I146" s="14">
        <f t="shared" si="82"/>
        <v>0</v>
      </c>
      <c r="J146" s="14">
        <f t="shared" si="82"/>
        <v>0</v>
      </c>
      <c r="K146" s="14">
        <f t="shared" si="82"/>
        <v>0</v>
      </c>
      <c r="L146" s="14">
        <f t="shared" si="82"/>
        <v>0</v>
      </c>
      <c r="M146" s="224">
        <f t="shared" si="82"/>
        <v>0</v>
      </c>
      <c r="P146" s="161">
        <v>131</v>
      </c>
      <c r="Q146" s="161">
        <f t="shared" si="83"/>
        <v>0</v>
      </c>
      <c r="R146" s="161">
        <f t="shared" si="60"/>
        <v>0</v>
      </c>
      <c r="S146" s="161">
        <f t="shared" si="61"/>
        <v>0</v>
      </c>
      <c r="T146" s="161">
        <f t="shared" si="62"/>
        <v>0</v>
      </c>
      <c r="U146" s="161">
        <f t="shared" si="63"/>
        <v>0</v>
      </c>
      <c r="V146" s="161">
        <f t="shared" si="64"/>
        <v>0</v>
      </c>
      <c r="W146" s="161">
        <f t="shared" si="65"/>
        <v>0</v>
      </c>
      <c r="X146" s="161">
        <f t="shared" si="66"/>
        <v>0</v>
      </c>
      <c r="Y146" s="161">
        <f t="shared" si="67"/>
        <v>0</v>
      </c>
      <c r="Z146" s="161">
        <f t="shared" si="68"/>
        <v>0</v>
      </c>
      <c r="AB146" s="168">
        <v>123</v>
      </c>
      <c r="AC146" s="213">
        <f t="shared" ca="1" si="72"/>
        <v>48893</v>
      </c>
      <c r="AD146" s="214">
        <f t="shared" si="73"/>
        <v>0</v>
      </c>
      <c r="AF146" s="168">
        <v>123</v>
      </c>
      <c r="AG146" s="213">
        <f t="shared" ca="1" si="74"/>
        <v>48893</v>
      </c>
      <c r="AH146" s="208">
        <f t="shared" si="57"/>
        <v>0</v>
      </c>
      <c r="AI146" s="215">
        <f t="shared" ca="1" si="76"/>
        <v>0</v>
      </c>
      <c r="AJ146" s="168">
        <v>123</v>
      </c>
      <c r="AK146" s="213">
        <f t="shared" ca="1" si="75"/>
        <v>48893</v>
      </c>
      <c r="AL146" s="208">
        <f t="shared" si="59"/>
        <v>0</v>
      </c>
      <c r="BC146" s="186" t="str">
        <f t="shared" si="78"/>
        <v>1PREF PERUIBE</v>
      </c>
      <c r="BD146" s="186">
        <f t="shared" si="79"/>
        <v>1</v>
      </c>
      <c r="BE146" s="209" t="str">
        <f>'SIMULADOR COM SALDO'!BF145</f>
        <v>PREF PERUIBE</v>
      </c>
      <c r="BF146" s="209" t="str">
        <f>'SIMULADOR COM SALDO'!BG145</f>
        <v>795543 - Tabela 3</v>
      </c>
      <c r="BG146" s="209">
        <f>'SIMULADOR COM SALDO'!BH145</f>
        <v>1.9900000000000001E-2</v>
      </c>
      <c r="BH146" s="209">
        <f>'SIMULADOR COM SALDO'!BI145</f>
        <v>120</v>
      </c>
      <c r="BI146" s="209" t="str">
        <f>'SIMULADOR COM SALDO'!BJ145</f>
        <v/>
      </c>
      <c r="BJ146" s="209">
        <f>'SIMULADOR COM SALDO'!BK145</f>
        <v>2.19</v>
      </c>
      <c r="BK146" s="209">
        <f>'SIMULADOR COM SALDO'!BL145</f>
        <v>15</v>
      </c>
      <c r="BL146" s="209">
        <f>'SIMULADOR COM SALDO'!BM145</f>
        <v>41</v>
      </c>
      <c r="BM146" s="209" t="str">
        <f>'SIMULADOR COM SALDO'!BN145</f>
        <v>RFN - PREF. PERUIBE DIG 3 PORTAB</v>
      </c>
      <c r="BN146" s="209" t="str">
        <f>'SIMULADOR COM SALDO'!BO145</f>
        <v>1,74</v>
      </c>
      <c r="BO146" s="209">
        <f>'SIMULADOR COM SALDO'!BP145</f>
        <v>1.7399999999999999E-2</v>
      </c>
      <c r="BP146" s="209">
        <f>'SIMULADOR COM SALDO'!BQ145</f>
        <v>2.2791217643555645E-2</v>
      </c>
      <c r="BQ146" s="209">
        <f>'SIMULADOR COM SALDO'!BR145</f>
        <v>2.1899999999999999E-2</v>
      </c>
      <c r="BR146" s="209">
        <f>'SIMULADOR COM SALDO'!BS145</f>
        <v>2.9999999999999997E-4</v>
      </c>
    </row>
    <row r="147" spans="2:70" hidden="1" x14ac:dyDescent="0.25">
      <c r="B147">
        <v>110</v>
      </c>
      <c r="C147" s="13">
        <f t="shared" ca="1" si="80"/>
        <v>48497</v>
      </c>
      <c r="D147" s="14">
        <f t="shared" si="81"/>
        <v>0</v>
      </c>
      <c r="E147" s="14">
        <f t="shared" si="82"/>
        <v>0</v>
      </c>
      <c r="F147" s="14">
        <f t="shared" si="82"/>
        <v>0</v>
      </c>
      <c r="G147" s="14">
        <f t="shared" si="82"/>
        <v>0</v>
      </c>
      <c r="H147" s="14">
        <f t="shared" si="82"/>
        <v>0</v>
      </c>
      <c r="I147" s="14">
        <f t="shared" si="82"/>
        <v>0</v>
      </c>
      <c r="J147" s="14">
        <f t="shared" si="82"/>
        <v>0</v>
      </c>
      <c r="K147" s="14">
        <f t="shared" si="82"/>
        <v>0</v>
      </c>
      <c r="L147" s="14">
        <f t="shared" si="82"/>
        <v>0</v>
      </c>
      <c r="M147" s="224">
        <f t="shared" si="82"/>
        <v>0</v>
      </c>
      <c r="P147" s="161">
        <v>132</v>
      </c>
      <c r="Q147" s="161">
        <f t="shared" si="83"/>
        <v>0</v>
      </c>
      <c r="R147" s="161">
        <f t="shared" si="60"/>
        <v>0</v>
      </c>
      <c r="S147" s="161">
        <f t="shared" si="61"/>
        <v>0</v>
      </c>
      <c r="T147" s="161">
        <f t="shared" si="62"/>
        <v>0</v>
      </c>
      <c r="U147" s="161">
        <f t="shared" si="63"/>
        <v>0</v>
      </c>
      <c r="V147" s="161">
        <f t="shared" si="64"/>
        <v>0</v>
      </c>
      <c r="W147" s="161">
        <f t="shared" si="65"/>
        <v>0</v>
      </c>
      <c r="X147" s="161">
        <f t="shared" si="66"/>
        <v>0</v>
      </c>
      <c r="Y147" s="161">
        <f t="shared" si="67"/>
        <v>0</v>
      </c>
      <c r="Z147" s="161">
        <f t="shared" si="68"/>
        <v>0</v>
      </c>
      <c r="AB147" s="168">
        <v>124</v>
      </c>
      <c r="AC147" s="213">
        <f t="shared" ca="1" si="72"/>
        <v>48923</v>
      </c>
      <c r="AD147" s="214">
        <f t="shared" si="73"/>
        <v>0</v>
      </c>
      <c r="AF147" s="168">
        <v>124</v>
      </c>
      <c r="AG147" s="213">
        <f t="shared" ca="1" si="74"/>
        <v>48923</v>
      </c>
      <c r="AH147" s="208">
        <f t="shared" si="57"/>
        <v>0</v>
      </c>
      <c r="AI147" s="215">
        <f t="shared" ca="1" si="76"/>
        <v>0</v>
      </c>
      <c r="AJ147" s="168">
        <v>124</v>
      </c>
      <c r="AK147" s="213">
        <f t="shared" ca="1" si="75"/>
        <v>48923</v>
      </c>
      <c r="AL147" s="208">
        <f t="shared" si="59"/>
        <v>0</v>
      </c>
      <c r="BC147" s="186" t="str">
        <f t="shared" si="78"/>
        <v>1PREF PG</v>
      </c>
      <c r="BD147" s="186">
        <f t="shared" si="79"/>
        <v>1</v>
      </c>
      <c r="BE147" s="209" t="str">
        <f>'SIMULADOR COM SALDO'!BF146</f>
        <v>PREF PG</v>
      </c>
      <c r="BF147" s="209" t="str">
        <f>'SIMULADOR COM SALDO'!BG146</f>
        <v>755071 - Tabela 1</v>
      </c>
      <c r="BG147" s="209">
        <f>'SIMULADOR COM SALDO'!BH146</f>
        <v>2.0899999999999998E-2</v>
      </c>
      <c r="BH147" s="209">
        <f>'SIMULADOR COM SALDO'!BI146</f>
        <v>96</v>
      </c>
      <c r="BI147" s="209" t="str">
        <f>'SIMULADOR COM SALDO'!BJ146</f>
        <v/>
      </c>
      <c r="BJ147" s="209">
        <f>'SIMULADOR COM SALDO'!BK146</f>
        <v>2.09</v>
      </c>
      <c r="BK147" s="209">
        <f>'SIMULADOR COM SALDO'!BL146</f>
        <v>15</v>
      </c>
      <c r="BL147" s="209">
        <f>'SIMULADOR COM SALDO'!BM146</f>
        <v>65</v>
      </c>
      <c r="BM147" s="209" t="str">
        <f>'SIMULADOR COM SALDO'!BN146</f>
        <v>RFN - PREF PRAIA GRANDE DIG 1 PORTAB</v>
      </c>
      <c r="BN147" s="209" t="str">
        <f>'SIMULADOR COM SALDO'!BO146</f>
        <v>1,67</v>
      </c>
      <c r="BO147" s="209">
        <f>'SIMULADOR COM SALDO'!BP146</f>
        <v>1.67E-2</v>
      </c>
      <c r="BP147" s="209">
        <f>'SIMULADOR COM SALDO'!BQ146</f>
        <v>2.5566221335807174E-2</v>
      </c>
      <c r="BQ147" s="209">
        <f>'SIMULADOR COM SALDO'!BR146</f>
        <v>2.0899999999999998E-2</v>
      </c>
      <c r="BR147" s="209">
        <f>'SIMULADOR COM SALDO'!BS146</f>
        <v>2.9999999999999997E-4</v>
      </c>
    </row>
    <row r="148" spans="2:70" hidden="1" x14ac:dyDescent="0.25">
      <c r="B148">
        <v>111</v>
      </c>
      <c r="C148" s="13">
        <f t="shared" ca="1" si="80"/>
        <v>48528</v>
      </c>
      <c r="D148" s="14">
        <f t="shared" si="81"/>
        <v>0</v>
      </c>
      <c r="E148" s="14">
        <f t="shared" si="82"/>
        <v>0</v>
      </c>
      <c r="F148" s="14">
        <f t="shared" si="82"/>
        <v>0</v>
      </c>
      <c r="G148" s="14">
        <f t="shared" si="82"/>
        <v>0</v>
      </c>
      <c r="H148" s="14">
        <f t="shared" si="82"/>
        <v>0</v>
      </c>
      <c r="I148" s="14">
        <f t="shared" si="82"/>
        <v>0</v>
      </c>
      <c r="J148" s="14">
        <f t="shared" si="82"/>
        <v>0</v>
      </c>
      <c r="K148" s="14">
        <f t="shared" si="82"/>
        <v>0</v>
      </c>
      <c r="L148" s="14">
        <f t="shared" si="82"/>
        <v>0</v>
      </c>
      <c r="M148" s="224">
        <f t="shared" si="82"/>
        <v>0</v>
      </c>
      <c r="P148" s="161">
        <v>133</v>
      </c>
      <c r="Q148" s="161">
        <f t="shared" si="83"/>
        <v>0</v>
      </c>
      <c r="R148" s="161">
        <f t="shared" si="60"/>
        <v>0</v>
      </c>
      <c r="S148" s="161">
        <f t="shared" si="61"/>
        <v>0</v>
      </c>
      <c r="T148" s="161">
        <f t="shared" si="62"/>
        <v>0</v>
      </c>
      <c r="U148" s="161">
        <f t="shared" si="63"/>
        <v>0</v>
      </c>
      <c r="V148" s="161">
        <f t="shared" si="64"/>
        <v>0</v>
      </c>
      <c r="W148" s="161">
        <f t="shared" si="65"/>
        <v>0</v>
      </c>
      <c r="X148" s="161">
        <f t="shared" si="66"/>
        <v>0</v>
      </c>
      <c r="Y148" s="161">
        <f t="shared" si="67"/>
        <v>0</v>
      </c>
      <c r="Z148" s="161">
        <f t="shared" si="68"/>
        <v>0</v>
      </c>
      <c r="AB148" s="168">
        <v>125</v>
      </c>
      <c r="AC148" s="213">
        <f t="shared" ca="1" si="72"/>
        <v>48954</v>
      </c>
      <c r="AD148" s="214">
        <f t="shared" si="73"/>
        <v>0</v>
      </c>
      <c r="AF148" s="168">
        <v>125</v>
      </c>
      <c r="AG148" s="213">
        <f t="shared" ca="1" si="74"/>
        <v>48954</v>
      </c>
      <c r="AH148" s="208">
        <f t="shared" si="57"/>
        <v>0</v>
      </c>
      <c r="AI148" s="215">
        <f t="shared" ca="1" si="76"/>
        <v>0</v>
      </c>
      <c r="AJ148" s="168">
        <v>125</v>
      </c>
      <c r="AK148" s="213">
        <f t="shared" ca="1" si="75"/>
        <v>48954</v>
      </c>
      <c r="AL148" s="208">
        <f t="shared" si="59"/>
        <v>0</v>
      </c>
      <c r="BC148" s="186" t="str">
        <f t="shared" si="78"/>
        <v>2PREF PG</v>
      </c>
      <c r="BD148" s="186">
        <f t="shared" si="79"/>
        <v>2</v>
      </c>
      <c r="BE148" s="209" t="str">
        <f>'SIMULADOR COM SALDO'!BF147</f>
        <v>PREF PG</v>
      </c>
      <c r="BF148" s="209" t="str">
        <f>'SIMULADOR COM SALDO'!BG147</f>
        <v>755072 - Tabela 2</v>
      </c>
      <c r="BG148" s="209">
        <f>'SIMULADOR COM SALDO'!BH147</f>
        <v>1.9900000000000001E-2</v>
      </c>
      <c r="BH148" s="209">
        <f>'SIMULADOR COM SALDO'!BI147</f>
        <v>96</v>
      </c>
      <c r="BI148" s="209" t="str">
        <f>'SIMULADOR COM SALDO'!BJ147</f>
        <v/>
      </c>
      <c r="BJ148" s="209">
        <f>'SIMULADOR COM SALDO'!BK147</f>
        <v>2.09</v>
      </c>
      <c r="BK148" s="209">
        <f>'SIMULADOR COM SALDO'!BL147</f>
        <v>15</v>
      </c>
      <c r="BL148" s="209">
        <f>'SIMULADOR COM SALDO'!BM147</f>
        <v>50</v>
      </c>
      <c r="BM148" s="209" t="str">
        <f>'SIMULADOR COM SALDO'!BN147</f>
        <v>RFN - PREF PRAIA GRANDE DIG 2 PORTAB</v>
      </c>
      <c r="BN148" s="209" t="str">
        <f>'SIMULADOR COM SALDO'!BO147</f>
        <v>1,67</v>
      </c>
      <c r="BO148" s="209">
        <f>'SIMULADOR COM SALDO'!BP147</f>
        <v>1.67E-2</v>
      </c>
      <c r="BP148" s="209">
        <f>'SIMULADOR COM SALDO'!BQ147</f>
        <v>2.4460732323653724E-2</v>
      </c>
      <c r="BQ148" s="209">
        <f>'SIMULADOR COM SALDO'!BR147</f>
        <v>2.0899999999999998E-2</v>
      </c>
      <c r="BR148" s="209">
        <f>'SIMULADOR COM SALDO'!BS147</f>
        <v>2.9999999999999997E-4</v>
      </c>
    </row>
    <row r="149" spans="2:70" hidden="1" x14ac:dyDescent="0.25">
      <c r="B149">
        <v>112</v>
      </c>
      <c r="C149" s="13">
        <f t="shared" ca="1" si="80"/>
        <v>48558</v>
      </c>
      <c r="D149" s="14">
        <f t="shared" si="81"/>
        <v>0</v>
      </c>
      <c r="E149" s="14">
        <f t="shared" si="82"/>
        <v>0</v>
      </c>
      <c r="F149" s="14">
        <f t="shared" si="82"/>
        <v>0</v>
      </c>
      <c r="G149" s="14">
        <f t="shared" si="82"/>
        <v>0</v>
      </c>
      <c r="H149" s="14">
        <f t="shared" si="82"/>
        <v>0</v>
      </c>
      <c r="I149" s="14">
        <f t="shared" si="82"/>
        <v>0</v>
      </c>
      <c r="J149" s="14">
        <f t="shared" si="82"/>
        <v>0</v>
      </c>
      <c r="K149" s="14">
        <f t="shared" si="82"/>
        <v>0</v>
      </c>
      <c r="L149" s="14">
        <f t="shared" si="82"/>
        <v>0</v>
      </c>
      <c r="M149" s="224">
        <f t="shared" si="82"/>
        <v>0</v>
      </c>
      <c r="P149" s="161">
        <v>134</v>
      </c>
      <c r="Q149" s="161">
        <f t="shared" si="83"/>
        <v>0</v>
      </c>
      <c r="R149" s="161">
        <f t="shared" si="60"/>
        <v>0</v>
      </c>
      <c r="S149" s="161">
        <f t="shared" si="61"/>
        <v>0</v>
      </c>
      <c r="T149" s="161">
        <f t="shared" si="62"/>
        <v>0</v>
      </c>
      <c r="U149" s="161">
        <f t="shared" si="63"/>
        <v>0</v>
      </c>
      <c r="V149" s="161">
        <f t="shared" si="64"/>
        <v>0</v>
      </c>
      <c r="W149" s="161">
        <f t="shared" si="65"/>
        <v>0</v>
      </c>
      <c r="X149" s="161">
        <f t="shared" si="66"/>
        <v>0</v>
      </c>
      <c r="Y149" s="161">
        <f t="shared" si="67"/>
        <v>0</v>
      </c>
      <c r="Z149" s="161">
        <f t="shared" si="68"/>
        <v>0</v>
      </c>
      <c r="AB149" s="168">
        <v>126</v>
      </c>
      <c r="AC149" s="213">
        <f t="shared" ca="1" si="72"/>
        <v>48985</v>
      </c>
      <c r="AD149" s="214">
        <f t="shared" si="73"/>
        <v>0</v>
      </c>
      <c r="AF149" s="168">
        <v>126</v>
      </c>
      <c r="AG149" s="213">
        <f t="shared" ca="1" si="74"/>
        <v>48985</v>
      </c>
      <c r="AH149" s="208">
        <f t="shared" si="57"/>
        <v>0</v>
      </c>
      <c r="AI149" s="215">
        <f t="shared" ca="1" si="76"/>
        <v>0</v>
      </c>
      <c r="AJ149" s="168">
        <v>126</v>
      </c>
      <c r="AK149" s="213">
        <f t="shared" ca="1" si="75"/>
        <v>48985</v>
      </c>
      <c r="AL149" s="208">
        <f t="shared" si="59"/>
        <v>0</v>
      </c>
      <c r="BC149" s="186" t="str">
        <f t="shared" si="78"/>
        <v>3PREF PG</v>
      </c>
      <c r="BD149" s="186">
        <f t="shared" si="79"/>
        <v>3</v>
      </c>
      <c r="BE149" s="209" t="str">
        <f>'SIMULADOR COM SALDO'!BF148</f>
        <v>PREF PG</v>
      </c>
      <c r="BF149" s="209" t="str">
        <f>'SIMULADOR COM SALDO'!BG148</f>
        <v>755073 - Tabela 3</v>
      </c>
      <c r="BG149" s="209">
        <f>'SIMULADOR COM SALDO'!BH148</f>
        <v>1.9199999999999998E-2</v>
      </c>
      <c r="BH149" s="209">
        <f>'SIMULADOR COM SALDO'!BI148</f>
        <v>96</v>
      </c>
      <c r="BI149" s="209" t="str">
        <f>'SIMULADOR COM SALDO'!BJ148</f>
        <v/>
      </c>
      <c r="BJ149" s="209">
        <f>'SIMULADOR COM SALDO'!BK148</f>
        <v>2.09</v>
      </c>
      <c r="BK149" s="209">
        <f>'SIMULADOR COM SALDO'!BL148</f>
        <v>15</v>
      </c>
      <c r="BL149" s="209">
        <f>'SIMULADOR COM SALDO'!BM148</f>
        <v>49</v>
      </c>
      <c r="BM149" s="209" t="str">
        <f>'SIMULADOR COM SALDO'!BN148</f>
        <v>RFN - PREF PRAIA GRANDE DIG 3 PORTAB</v>
      </c>
      <c r="BN149" s="209" t="str">
        <f>'SIMULADOR COM SALDO'!BO148</f>
        <v>1,67</v>
      </c>
      <c r="BO149" s="209">
        <f>'SIMULADOR COM SALDO'!BP148</f>
        <v>1.67E-2</v>
      </c>
      <c r="BP149" s="209">
        <f>'SIMULADOR COM SALDO'!BQ148</f>
        <v>2.3863328225559841E-2</v>
      </c>
      <c r="BQ149" s="209">
        <f>'SIMULADOR COM SALDO'!BR148</f>
        <v>2.0899999999999998E-2</v>
      </c>
      <c r="BR149" s="209">
        <f>'SIMULADOR COM SALDO'!BS148</f>
        <v>2.9999999999999997E-4</v>
      </c>
    </row>
    <row r="150" spans="2:70" hidden="1" x14ac:dyDescent="0.25">
      <c r="B150">
        <v>113</v>
      </c>
      <c r="C150" s="13">
        <f t="shared" ca="1" si="80"/>
        <v>48589</v>
      </c>
      <c r="D150" s="14">
        <f t="shared" si="81"/>
        <v>0</v>
      </c>
      <c r="E150" s="14">
        <f t="shared" ref="E150:M165" si="84">IF($B150&lt;=E$20,E$17/(($C$36+1)^(($C150-$C$37)/30)),0)</f>
        <v>0</v>
      </c>
      <c r="F150" s="14">
        <f t="shared" si="84"/>
        <v>0</v>
      </c>
      <c r="G150" s="14">
        <f t="shared" si="84"/>
        <v>0</v>
      </c>
      <c r="H150" s="14">
        <f t="shared" si="84"/>
        <v>0</v>
      </c>
      <c r="I150" s="14">
        <f t="shared" si="84"/>
        <v>0</v>
      </c>
      <c r="J150" s="14">
        <f t="shared" si="84"/>
        <v>0</v>
      </c>
      <c r="K150" s="14">
        <f t="shared" si="84"/>
        <v>0</v>
      </c>
      <c r="L150" s="14">
        <f t="shared" si="84"/>
        <v>0</v>
      </c>
      <c r="M150" s="224">
        <f t="shared" si="84"/>
        <v>0</v>
      </c>
      <c r="P150" s="161">
        <v>135</v>
      </c>
      <c r="Q150" s="161">
        <f t="shared" si="83"/>
        <v>0</v>
      </c>
      <c r="R150" s="161">
        <f t="shared" si="60"/>
        <v>0</v>
      </c>
      <c r="S150" s="161">
        <f t="shared" si="61"/>
        <v>0</v>
      </c>
      <c r="T150" s="161">
        <f t="shared" si="62"/>
        <v>0</v>
      </c>
      <c r="U150" s="161">
        <f t="shared" si="63"/>
        <v>0</v>
      </c>
      <c r="V150" s="161">
        <f t="shared" si="64"/>
        <v>0</v>
      </c>
      <c r="W150" s="161">
        <f t="shared" si="65"/>
        <v>0</v>
      </c>
      <c r="X150" s="161">
        <f t="shared" si="66"/>
        <v>0</v>
      </c>
      <c r="Y150" s="161">
        <f t="shared" si="67"/>
        <v>0</v>
      </c>
      <c r="Z150" s="161">
        <f t="shared" si="68"/>
        <v>0</v>
      </c>
      <c r="AB150" s="168">
        <v>127</v>
      </c>
      <c r="AC150" s="213">
        <f t="shared" ca="1" si="72"/>
        <v>49013</v>
      </c>
      <c r="AD150" s="214">
        <f t="shared" si="73"/>
        <v>0</v>
      </c>
      <c r="AF150" s="168">
        <v>127</v>
      </c>
      <c r="AG150" s="213">
        <f t="shared" ca="1" si="74"/>
        <v>49013</v>
      </c>
      <c r="AH150" s="208">
        <f t="shared" si="57"/>
        <v>0</v>
      </c>
      <c r="AI150" s="215">
        <f t="shared" ca="1" si="76"/>
        <v>0</v>
      </c>
      <c r="AJ150" s="168">
        <v>127</v>
      </c>
      <c r="AK150" s="213">
        <f t="shared" ca="1" si="75"/>
        <v>49013</v>
      </c>
      <c r="AL150" s="208">
        <f t="shared" si="59"/>
        <v>0</v>
      </c>
      <c r="BC150" s="186" t="str">
        <f t="shared" si="78"/>
        <v>1PREF S JOSE SC</v>
      </c>
      <c r="BD150" s="186">
        <f t="shared" si="79"/>
        <v>1</v>
      </c>
      <c r="BE150" s="209" t="str">
        <f>'SIMULADOR COM SALDO'!BF149</f>
        <v>PREF S JOSE SC</v>
      </c>
      <c r="BF150" s="209" t="str">
        <f>'SIMULADOR COM SALDO'!BG149</f>
        <v>775757 - Tabela 1</v>
      </c>
      <c r="BG150" s="209">
        <f>'SIMULADOR COM SALDO'!BH149</f>
        <v>1.95E-2</v>
      </c>
      <c r="BH150" s="209">
        <f>'SIMULADOR COM SALDO'!BI149</f>
        <v>120</v>
      </c>
      <c r="BI150" s="209" t="str">
        <f>'SIMULADOR COM SALDO'!BJ149</f>
        <v/>
      </c>
      <c r="BJ150" s="209">
        <f>'SIMULADOR COM SALDO'!BK149</f>
        <v>1.95</v>
      </c>
      <c r="BK150" s="209">
        <f>'SIMULADOR COM SALDO'!BL149</f>
        <v>10</v>
      </c>
      <c r="BL150" s="209">
        <f>'SIMULADOR COM SALDO'!BM149</f>
        <v>44</v>
      </c>
      <c r="BM150" s="209" t="str">
        <f>'SIMULADOR COM SALDO'!BN149</f>
        <v>RFN - PREF SAO JOSE SC PORTAB 1 DIG</v>
      </c>
      <c r="BN150" s="209" t="str">
        <f>'SIMULADOR COM SALDO'!BO149</f>
        <v>1,65</v>
      </c>
      <c r="BO150" s="209">
        <f>'SIMULADOR COM SALDO'!BP149</f>
        <v>1.6500000000000001E-2</v>
      </c>
      <c r="BP150" s="209">
        <f>'SIMULADOR COM SALDO'!BQ149</f>
        <v>2.2485488493646899E-2</v>
      </c>
      <c r="BQ150" s="209">
        <f>'SIMULADOR COM SALDO'!BR149</f>
        <v>1.95E-2</v>
      </c>
      <c r="BR150" s="209">
        <f>'SIMULADOR COM SALDO'!BS149</f>
        <v>2.9999999999999997E-4</v>
      </c>
    </row>
    <row r="151" spans="2:70" hidden="1" x14ac:dyDescent="0.25">
      <c r="B151">
        <v>114</v>
      </c>
      <c r="C151" s="13">
        <f t="shared" ca="1" si="80"/>
        <v>48620</v>
      </c>
      <c r="D151" s="14">
        <f t="shared" si="81"/>
        <v>0</v>
      </c>
      <c r="E151" s="14">
        <f t="shared" si="84"/>
        <v>0</v>
      </c>
      <c r="F151" s="14">
        <f t="shared" si="84"/>
        <v>0</v>
      </c>
      <c r="G151" s="14">
        <f t="shared" si="84"/>
        <v>0</v>
      </c>
      <c r="H151" s="14">
        <f t="shared" si="84"/>
        <v>0</v>
      </c>
      <c r="I151" s="14">
        <f t="shared" si="84"/>
        <v>0</v>
      </c>
      <c r="J151" s="14">
        <f t="shared" si="84"/>
        <v>0</v>
      </c>
      <c r="K151" s="14">
        <f t="shared" si="84"/>
        <v>0</v>
      </c>
      <c r="L151" s="14">
        <f t="shared" si="84"/>
        <v>0</v>
      </c>
      <c r="M151" s="224">
        <f t="shared" si="84"/>
        <v>0</v>
      </c>
      <c r="P151" s="161">
        <v>136</v>
      </c>
      <c r="Q151" s="161">
        <f t="shared" si="83"/>
        <v>0</v>
      </c>
      <c r="R151" s="161">
        <f t="shared" si="60"/>
        <v>0</v>
      </c>
      <c r="S151" s="161">
        <f t="shared" si="61"/>
        <v>0</v>
      </c>
      <c r="T151" s="161">
        <f t="shared" si="62"/>
        <v>0</v>
      </c>
      <c r="U151" s="161">
        <f t="shared" si="63"/>
        <v>0</v>
      </c>
      <c r="V151" s="161">
        <f t="shared" si="64"/>
        <v>0</v>
      </c>
      <c r="W151" s="161">
        <f t="shared" si="65"/>
        <v>0</v>
      </c>
      <c r="X151" s="161">
        <f t="shared" si="66"/>
        <v>0</v>
      </c>
      <c r="Y151" s="161">
        <f t="shared" si="67"/>
        <v>0</v>
      </c>
      <c r="Z151" s="161">
        <f t="shared" si="68"/>
        <v>0</v>
      </c>
      <c r="AB151" s="168">
        <v>128</v>
      </c>
      <c r="AC151" s="213">
        <f t="shared" ca="1" si="72"/>
        <v>49044</v>
      </c>
      <c r="AD151" s="214">
        <f t="shared" si="73"/>
        <v>0</v>
      </c>
      <c r="AF151" s="168">
        <v>128</v>
      </c>
      <c r="AG151" s="213">
        <f t="shared" ca="1" si="74"/>
        <v>49044</v>
      </c>
      <c r="AH151" s="208">
        <f t="shared" si="57"/>
        <v>0</v>
      </c>
      <c r="AI151" s="215">
        <f t="shared" ca="1" si="76"/>
        <v>0</v>
      </c>
      <c r="AJ151" s="168">
        <v>128</v>
      </c>
      <c r="AK151" s="213">
        <f t="shared" ca="1" si="75"/>
        <v>49044</v>
      </c>
      <c r="AL151" s="208">
        <f t="shared" si="59"/>
        <v>0</v>
      </c>
      <c r="BC151" s="186" t="str">
        <f t="shared" si="78"/>
        <v>1PREF SALVAD MAR</v>
      </c>
      <c r="BD151" s="186">
        <f t="shared" si="79"/>
        <v>1</v>
      </c>
      <c r="BE151" s="209" t="str">
        <f>'SIMULADOR COM SALDO'!BF150</f>
        <v>PREF SALVAD MAR</v>
      </c>
      <c r="BF151" s="209" t="str">
        <f>'SIMULADOR COM SALDO'!BG150</f>
        <v>705231 - Tabela 1</v>
      </c>
      <c r="BG151" s="209">
        <f>'SIMULADOR COM SALDO'!BH150</f>
        <v>2.2000000000000002E-2</v>
      </c>
      <c r="BH151" s="209">
        <f>'SIMULADOR COM SALDO'!BI150</f>
        <v>120</v>
      </c>
      <c r="BI151" s="209" t="str">
        <f>'SIMULADOR COM SALDO'!BJ150</f>
        <v/>
      </c>
      <c r="BJ151" s="209">
        <f>'SIMULADOR COM SALDO'!BK150</f>
        <v>2.2000000000000002</v>
      </c>
      <c r="BK151" s="209">
        <f>'SIMULADOR COM SALDO'!BL150</f>
        <v>10</v>
      </c>
      <c r="BL151" s="209">
        <f>'SIMULADOR COM SALDO'!BM150</f>
        <v>50</v>
      </c>
      <c r="BM151" s="209" t="str">
        <f>'SIMULADOR COM SALDO'!BN150</f>
        <v>RFN - PREF SALVADOR DIG EST 1 PORTAB</v>
      </c>
      <c r="BN151" s="209" t="str">
        <f>'SIMULADOR COM SALDO'!BO150</f>
        <v>1,53</v>
      </c>
      <c r="BO151" s="209">
        <f>'SIMULADOR COM SALDO'!BP150</f>
        <v>1.5300000000000001E-2</v>
      </c>
      <c r="BP151" s="209">
        <f>'SIMULADOR COM SALDO'!BQ150</f>
        <v>2.4817352285755059E-2</v>
      </c>
      <c r="BQ151" s="209">
        <f>'SIMULADOR COM SALDO'!BR150</f>
        <v>2.2000000000000002E-2</v>
      </c>
      <c r="BR151" s="209">
        <f>'SIMULADOR COM SALDO'!BS150</f>
        <v>2.9999999999999997E-4</v>
      </c>
    </row>
    <row r="152" spans="2:70" hidden="1" x14ac:dyDescent="0.25">
      <c r="B152">
        <v>115</v>
      </c>
      <c r="C152" s="13">
        <f t="shared" ca="1" si="80"/>
        <v>48648</v>
      </c>
      <c r="D152" s="14">
        <f t="shared" si="81"/>
        <v>0</v>
      </c>
      <c r="E152" s="14">
        <f t="shared" si="84"/>
        <v>0</v>
      </c>
      <c r="F152" s="14">
        <f t="shared" si="84"/>
        <v>0</v>
      </c>
      <c r="G152" s="14">
        <f t="shared" si="84"/>
        <v>0</v>
      </c>
      <c r="H152" s="14">
        <f t="shared" si="84"/>
        <v>0</v>
      </c>
      <c r="I152" s="14">
        <f t="shared" si="84"/>
        <v>0</v>
      </c>
      <c r="J152" s="14">
        <f t="shared" si="84"/>
        <v>0</v>
      </c>
      <c r="K152" s="14">
        <f t="shared" si="84"/>
        <v>0</v>
      </c>
      <c r="L152" s="14">
        <f t="shared" si="84"/>
        <v>0</v>
      </c>
      <c r="M152" s="224">
        <f t="shared" si="84"/>
        <v>0</v>
      </c>
      <c r="P152" s="161">
        <v>137</v>
      </c>
      <c r="Q152" s="161">
        <f t="shared" si="83"/>
        <v>0</v>
      </c>
      <c r="R152" s="161">
        <f t="shared" si="60"/>
        <v>0</v>
      </c>
      <c r="S152" s="161">
        <f t="shared" si="61"/>
        <v>0</v>
      </c>
      <c r="T152" s="161">
        <f t="shared" si="62"/>
        <v>0</v>
      </c>
      <c r="U152" s="161">
        <f t="shared" si="63"/>
        <v>0</v>
      </c>
      <c r="V152" s="161">
        <f t="shared" si="64"/>
        <v>0</v>
      </c>
      <c r="W152" s="161">
        <f t="shared" si="65"/>
        <v>0</v>
      </c>
      <c r="X152" s="161">
        <f t="shared" si="66"/>
        <v>0</v>
      </c>
      <c r="Y152" s="161">
        <f t="shared" si="67"/>
        <v>0</v>
      </c>
      <c r="Z152" s="161">
        <f t="shared" si="68"/>
        <v>0</v>
      </c>
      <c r="AB152" s="168">
        <v>129</v>
      </c>
      <c r="AC152" s="213">
        <f t="shared" ca="1" si="72"/>
        <v>49074</v>
      </c>
      <c r="AD152" s="214">
        <f t="shared" si="73"/>
        <v>0</v>
      </c>
      <c r="AF152" s="168">
        <v>129</v>
      </c>
      <c r="AG152" s="213">
        <f t="shared" ca="1" si="74"/>
        <v>49074</v>
      </c>
      <c r="AH152" s="208">
        <f t="shared" si="57"/>
        <v>0</v>
      </c>
      <c r="AI152" s="215">
        <f t="shared" ca="1" si="76"/>
        <v>0</v>
      </c>
      <c r="AJ152" s="168">
        <v>129</v>
      </c>
      <c r="AK152" s="213">
        <f t="shared" ca="1" si="75"/>
        <v>49074</v>
      </c>
      <c r="AL152" s="208">
        <f t="shared" si="59"/>
        <v>0</v>
      </c>
      <c r="BC152" s="186" t="str">
        <f t="shared" ref="BC152:BC168" si="85">CONCATENATE(BD152,BE152)</f>
        <v>2PREF SALVAD MAR</v>
      </c>
      <c r="BD152" s="186">
        <f t="shared" ref="BD152:BD168" si="86">IF(BE152=BE151,BD151+1,1)</f>
        <v>2</v>
      </c>
      <c r="BE152" s="209" t="str">
        <f>'SIMULADOR COM SALDO'!BF151</f>
        <v>PREF SALVAD MAR</v>
      </c>
      <c r="BF152" s="209" t="str">
        <f>'SIMULADOR COM SALDO'!BG151</f>
        <v>705237 - Tabela 3</v>
      </c>
      <c r="BG152" s="209">
        <f>'SIMULADOR COM SALDO'!BH151</f>
        <v>0.02</v>
      </c>
      <c r="BH152" s="209">
        <f>'SIMULADOR COM SALDO'!BI151</f>
        <v>120</v>
      </c>
      <c r="BI152" s="209" t="str">
        <f>'SIMULADOR COM SALDO'!BJ151</f>
        <v/>
      </c>
      <c r="BJ152" s="209">
        <f>'SIMULADOR COM SALDO'!BK151</f>
        <v>2.2000000000000002</v>
      </c>
      <c r="BK152" s="209">
        <f>'SIMULADOR COM SALDO'!BL151</f>
        <v>10</v>
      </c>
      <c r="BL152" s="209">
        <f>'SIMULADOR COM SALDO'!BM151</f>
        <v>50</v>
      </c>
      <c r="BM152" s="209" t="str">
        <f>'SIMULADOR COM SALDO'!BN151</f>
        <v>RFN - PREF SALVADOR DIG ESTATUT 3 PORTAB</v>
      </c>
      <c r="BN152" s="209" t="str">
        <f>'SIMULADOR COM SALDO'!BO151</f>
        <v>1,53</v>
      </c>
      <c r="BO152" s="209">
        <f>'SIMULADOR COM SALDO'!BP151</f>
        <v>1.5300000000000001E-2</v>
      </c>
      <c r="BP152" s="209">
        <f>'SIMULADOR COM SALDO'!BQ151</f>
        <v>2.3015131198838339E-2</v>
      </c>
      <c r="BQ152" s="209">
        <f>'SIMULADOR COM SALDO'!BR151</f>
        <v>2.2000000000000002E-2</v>
      </c>
      <c r="BR152" s="209">
        <f>'SIMULADOR COM SALDO'!BS151</f>
        <v>2.9999999999999997E-4</v>
      </c>
    </row>
    <row r="153" spans="2:70" hidden="1" x14ac:dyDescent="0.25">
      <c r="B153">
        <v>116</v>
      </c>
      <c r="C153" s="13">
        <f t="shared" ca="1" si="80"/>
        <v>48679</v>
      </c>
      <c r="D153" s="14">
        <f t="shared" si="81"/>
        <v>0</v>
      </c>
      <c r="E153" s="14">
        <f t="shared" si="84"/>
        <v>0</v>
      </c>
      <c r="F153" s="14">
        <f t="shared" si="84"/>
        <v>0</v>
      </c>
      <c r="G153" s="14">
        <f t="shared" si="84"/>
        <v>0</v>
      </c>
      <c r="H153" s="14">
        <f t="shared" si="84"/>
        <v>0</v>
      </c>
      <c r="I153" s="14">
        <f t="shared" si="84"/>
        <v>0</v>
      </c>
      <c r="J153" s="14">
        <f t="shared" si="84"/>
        <v>0</v>
      </c>
      <c r="K153" s="14">
        <f t="shared" si="84"/>
        <v>0</v>
      </c>
      <c r="L153" s="14">
        <f t="shared" si="84"/>
        <v>0</v>
      </c>
      <c r="M153" s="224">
        <f t="shared" si="84"/>
        <v>0</v>
      </c>
      <c r="P153" s="161">
        <v>138</v>
      </c>
      <c r="Q153" s="161">
        <f t="shared" si="83"/>
        <v>0</v>
      </c>
      <c r="R153" s="161">
        <f t="shared" si="60"/>
        <v>0</v>
      </c>
      <c r="S153" s="161">
        <f t="shared" si="61"/>
        <v>0</v>
      </c>
      <c r="T153" s="161">
        <f t="shared" si="62"/>
        <v>0</v>
      </c>
      <c r="U153" s="161">
        <f t="shared" si="63"/>
        <v>0</v>
      </c>
      <c r="V153" s="161">
        <f t="shared" si="64"/>
        <v>0</v>
      </c>
      <c r="W153" s="161">
        <f t="shared" si="65"/>
        <v>0</v>
      </c>
      <c r="X153" s="161">
        <f t="shared" si="66"/>
        <v>0</v>
      </c>
      <c r="Y153" s="161">
        <f t="shared" si="67"/>
        <v>0</v>
      </c>
      <c r="Z153" s="161">
        <f t="shared" si="68"/>
        <v>0</v>
      </c>
      <c r="AB153" s="168">
        <v>130</v>
      </c>
      <c r="AC153" s="213">
        <f t="shared" ca="1" si="72"/>
        <v>49105</v>
      </c>
      <c r="AD153" s="214">
        <f t="shared" si="73"/>
        <v>0</v>
      </c>
      <c r="AF153" s="168">
        <v>130</v>
      </c>
      <c r="AG153" s="213">
        <f t="shared" ca="1" si="74"/>
        <v>49105</v>
      </c>
      <c r="AH153" s="208">
        <f t="shared" ref="AH153:AH166" si="87">IF(AF153&gt;$AL$19,0,AL153-AD153)</f>
        <v>0</v>
      </c>
      <c r="AI153" s="215">
        <f t="shared" ca="1" si="76"/>
        <v>0</v>
      </c>
      <c r="AJ153" s="168">
        <v>130</v>
      </c>
      <c r="AK153" s="213">
        <f t="shared" ca="1" si="75"/>
        <v>49105</v>
      </c>
      <c r="AL153" s="208">
        <f t="shared" ref="AL153:AL167" si="88">IF(AJ153&gt;$AL$19,0,$AL$18)</f>
        <v>0</v>
      </c>
      <c r="BC153" s="186" t="str">
        <f t="shared" si="85"/>
        <v>3PREF SALVAD MAR</v>
      </c>
      <c r="BD153" s="186">
        <f t="shared" si="86"/>
        <v>3</v>
      </c>
      <c r="BE153" s="209" t="str">
        <f>'SIMULADOR COM SALDO'!BF152</f>
        <v>PREF SALVAD MAR</v>
      </c>
      <c r="BF153" s="209" t="str">
        <f>'SIMULADOR COM SALDO'!BG152</f>
        <v>705242 - Tabela 4</v>
      </c>
      <c r="BG153" s="209">
        <f>'SIMULADOR COM SALDO'!BH152</f>
        <v>1.9E-2</v>
      </c>
      <c r="BH153" s="209">
        <f>'SIMULADOR COM SALDO'!BI152</f>
        <v>120</v>
      </c>
      <c r="BI153" s="209" t="str">
        <f>'SIMULADOR COM SALDO'!BJ152</f>
        <v/>
      </c>
      <c r="BJ153" s="209">
        <f>'SIMULADOR COM SALDO'!BK152</f>
        <v>2.2000000000000002</v>
      </c>
      <c r="BK153" s="209">
        <f>'SIMULADOR COM SALDO'!BL152</f>
        <v>10</v>
      </c>
      <c r="BL153" s="209">
        <f>'SIMULADOR COM SALDO'!BM152</f>
        <v>50</v>
      </c>
      <c r="BM153" s="209" t="str">
        <f>'SIMULADOR COM SALDO'!BN152</f>
        <v>RFN - PREF. SALVADOR DIG INAT 4 PORTAB</v>
      </c>
      <c r="BN153" s="209" t="str">
        <f>'SIMULADOR COM SALDO'!BO152</f>
        <v>1,53</v>
      </c>
      <c r="BO153" s="209">
        <f>'SIMULADOR COM SALDO'!BP152</f>
        <v>1.5300000000000001E-2</v>
      </c>
      <c r="BP153" s="209">
        <f>'SIMULADOR COM SALDO'!BQ152</f>
        <v>2.2133200665311679E-2</v>
      </c>
      <c r="BQ153" s="209">
        <f>'SIMULADOR COM SALDO'!BR152</f>
        <v>2.2000000000000002E-2</v>
      </c>
      <c r="BR153" s="209">
        <f>'SIMULADOR COM SALDO'!BS152</f>
        <v>2.9999999999999997E-4</v>
      </c>
    </row>
    <row r="154" spans="2:70" hidden="1" x14ac:dyDescent="0.25">
      <c r="B154">
        <v>117</v>
      </c>
      <c r="C154" s="13">
        <f t="shared" ca="1" si="80"/>
        <v>48709</v>
      </c>
      <c r="D154" s="14">
        <f t="shared" si="81"/>
        <v>0</v>
      </c>
      <c r="E154" s="14">
        <f t="shared" si="84"/>
        <v>0</v>
      </c>
      <c r="F154" s="14">
        <f t="shared" si="84"/>
        <v>0</v>
      </c>
      <c r="G154" s="14">
        <f t="shared" si="84"/>
        <v>0</v>
      </c>
      <c r="H154" s="14">
        <f t="shared" si="84"/>
        <v>0</v>
      </c>
      <c r="I154" s="14">
        <f t="shared" si="84"/>
        <v>0</v>
      </c>
      <c r="J154" s="14">
        <f t="shared" si="84"/>
        <v>0</v>
      </c>
      <c r="K154" s="14">
        <f t="shared" si="84"/>
        <v>0</v>
      </c>
      <c r="L154" s="14">
        <f t="shared" si="84"/>
        <v>0</v>
      </c>
      <c r="M154" s="224">
        <f t="shared" si="84"/>
        <v>0</v>
      </c>
      <c r="P154" s="161">
        <v>139</v>
      </c>
      <c r="Q154" s="161">
        <f t="shared" si="83"/>
        <v>0</v>
      </c>
      <c r="R154" s="161">
        <f t="shared" si="60"/>
        <v>0</v>
      </c>
      <c r="S154" s="161">
        <f t="shared" si="61"/>
        <v>0</v>
      </c>
      <c r="T154" s="161">
        <f t="shared" si="62"/>
        <v>0</v>
      </c>
      <c r="U154" s="161">
        <f t="shared" si="63"/>
        <v>0</v>
      </c>
      <c r="V154" s="161">
        <f t="shared" si="64"/>
        <v>0</v>
      </c>
      <c r="W154" s="161">
        <f t="shared" si="65"/>
        <v>0</v>
      </c>
      <c r="X154" s="161">
        <f t="shared" si="66"/>
        <v>0</v>
      </c>
      <c r="Y154" s="161">
        <f t="shared" si="67"/>
        <v>0</v>
      </c>
      <c r="Z154" s="161">
        <f t="shared" si="68"/>
        <v>0</v>
      </c>
      <c r="AB154" s="168">
        <v>131</v>
      </c>
      <c r="AC154" s="213">
        <f t="shared" ca="1" si="72"/>
        <v>49135</v>
      </c>
      <c r="AD154" s="214">
        <f t="shared" si="73"/>
        <v>0</v>
      </c>
      <c r="AF154" s="168">
        <v>131</v>
      </c>
      <c r="AG154" s="213">
        <f t="shared" ca="1" si="74"/>
        <v>49135</v>
      </c>
      <c r="AH154" s="208">
        <f t="shared" si="87"/>
        <v>0</v>
      </c>
      <c r="AI154" s="215">
        <f t="shared" ca="1" si="76"/>
        <v>0</v>
      </c>
      <c r="AJ154" s="168">
        <v>131</v>
      </c>
      <c r="AK154" s="213">
        <f t="shared" ca="1" si="75"/>
        <v>49135</v>
      </c>
      <c r="AL154" s="208">
        <f t="shared" si="88"/>
        <v>0</v>
      </c>
      <c r="BC154" s="186" t="str">
        <f t="shared" si="85"/>
        <v>4PREF SALVAD MAR</v>
      </c>
      <c r="BD154" s="186">
        <f t="shared" si="86"/>
        <v>4</v>
      </c>
      <c r="BE154" s="209" t="str">
        <f>'SIMULADOR COM SALDO'!BF153</f>
        <v>PREF SALVAD MAR</v>
      </c>
      <c r="BF154" s="209" t="str">
        <f>'SIMULADOR COM SALDO'!BG153</f>
        <v>705243 - Tabela 5</v>
      </c>
      <c r="BG154" s="209">
        <f>'SIMULADOR COM SALDO'!BH153</f>
        <v>1.8500000000000003E-2</v>
      </c>
      <c r="BH154" s="209">
        <f>'SIMULADOR COM SALDO'!BI153</f>
        <v>120</v>
      </c>
      <c r="BI154" s="209" t="str">
        <f>'SIMULADOR COM SALDO'!BJ153</f>
        <v/>
      </c>
      <c r="BJ154" s="209">
        <f>'SIMULADOR COM SALDO'!BK153</f>
        <v>2.2000000000000002</v>
      </c>
      <c r="BK154" s="209">
        <f>'SIMULADOR COM SALDO'!BL153</f>
        <v>10</v>
      </c>
      <c r="BL154" s="209">
        <f>'SIMULADOR COM SALDO'!BM153</f>
        <v>50</v>
      </c>
      <c r="BM154" s="209" t="str">
        <f>'SIMULADOR COM SALDO'!BN153</f>
        <v>RFN - PREF SALVADOR DIG ESTATUT 5 PORTAB</v>
      </c>
      <c r="BN154" s="209" t="str">
        <f>'SIMULADOR COM SALDO'!BO153</f>
        <v>1,53</v>
      </c>
      <c r="BO154" s="209">
        <f>'SIMULADOR COM SALDO'!BP153</f>
        <v>1.5300000000000001E-2</v>
      </c>
      <c r="BP154" s="209">
        <f>'SIMULADOR COM SALDO'!BQ153</f>
        <v>2.1697290698850281E-2</v>
      </c>
      <c r="BQ154" s="209">
        <f>'SIMULADOR COM SALDO'!BR153</f>
        <v>2.2000000000000002E-2</v>
      </c>
      <c r="BR154" s="209">
        <f>'SIMULADOR COM SALDO'!BS153</f>
        <v>2.9999999999999997E-4</v>
      </c>
    </row>
    <row r="155" spans="2:70" hidden="1" x14ac:dyDescent="0.25">
      <c r="B155">
        <v>118</v>
      </c>
      <c r="C155" s="13">
        <f t="shared" ca="1" si="80"/>
        <v>48740</v>
      </c>
      <c r="D155" s="14">
        <f t="shared" si="81"/>
        <v>0</v>
      </c>
      <c r="E155" s="14">
        <f t="shared" si="84"/>
        <v>0</v>
      </c>
      <c r="F155" s="14">
        <f t="shared" si="84"/>
        <v>0</v>
      </c>
      <c r="G155" s="14">
        <f t="shared" si="84"/>
        <v>0</v>
      </c>
      <c r="H155" s="14">
        <f t="shared" si="84"/>
        <v>0</v>
      </c>
      <c r="I155" s="14">
        <f t="shared" si="84"/>
        <v>0</v>
      </c>
      <c r="J155" s="14">
        <f t="shared" si="84"/>
        <v>0</v>
      </c>
      <c r="K155" s="14">
        <f t="shared" si="84"/>
        <v>0</v>
      </c>
      <c r="L155" s="14">
        <f t="shared" si="84"/>
        <v>0</v>
      </c>
      <c r="M155" s="224">
        <f t="shared" si="84"/>
        <v>0</v>
      </c>
      <c r="P155" s="161">
        <v>140</v>
      </c>
      <c r="Q155" s="161">
        <f t="shared" si="83"/>
        <v>0</v>
      </c>
      <c r="R155" s="161">
        <f t="shared" si="60"/>
        <v>0</v>
      </c>
      <c r="S155" s="161">
        <f t="shared" si="61"/>
        <v>0</v>
      </c>
      <c r="T155" s="161">
        <f t="shared" si="62"/>
        <v>0</v>
      </c>
      <c r="U155" s="161">
        <f t="shared" si="63"/>
        <v>0</v>
      </c>
      <c r="V155" s="161">
        <f t="shared" si="64"/>
        <v>0</v>
      </c>
      <c r="W155" s="161">
        <f t="shared" si="65"/>
        <v>0</v>
      </c>
      <c r="X155" s="161">
        <f t="shared" si="66"/>
        <v>0</v>
      </c>
      <c r="Y155" s="161">
        <f t="shared" si="67"/>
        <v>0</v>
      </c>
      <c r="Z155" s="161">
        <f t="shared" si="68"/>
        <v>0</v>
      </c>
      <c r="AB155" s="168">
        <v>132</v>
      </c>
      <c r="AC155" s="213">
        <f t="shared" ca="1" si="72"/>
        <v>49166</v>
      </c>
      <c r="AD155" s="214">
        <f t="shared" si="73"/>
        <v>0</v>
      </c>
      <c r="AF155" s="168">
        <v>132</v>
      </c>
      <c r="AG155" s="213">
        <f t="shared" ca="1" si="74"/>
        <v>49166</v>
      </c>
      <c r="AH155" s="208">
        <f t="shared" si="87"/>
        <v>0</v>
      </c>
      <c r="AI155" s="215">
        <f t="shared" ca="1" si="76"/>
        <v>0</v>
      </c>
      <c r="AJ155" s="168">
        <v>132</v>
      </c>
      <c r="AK155" s="213">
        <f t="shared" ca="1" si="75"/>
        <v>49166</v>
      </c>
      <c r="AL155" s="208">
        <f t="shared" si="88"/>
        <v>0</v>
      </c>
      <c r="BC155" s="186" t="str">
        <f t="shared" si="85"/>
        <v>5PREF SALVAD MAR</v>
      </c>
      <c r="BD155" s="186">
        <f t="shared" si="86"/>
        <v>5</v>
      </c>
      <c r="BE155" s="209" t="str">
        <f>'SIMULADOR COM SALDO'!BF154</f>
        <v>PREF SALVAD MAR</v>
      </c>
      <c r="BF155" s="209" t="str">
        <f>'SIMULADOR COM SALDO'!BG154</f>
        <v>705245 - Tabela 5</v>
      </c>
      <c r="BG155" s="209">
        <f>'SIMULADOR COM SALDO'!BH154</f>
        <v>1.8500000000000003E-2</v>
      </c>
      <c r="BH155" s="209">
        <f>'SIMULADOR COM SALDO'!BI154</f>
        <v>120</v>
      </c>
      <c r="BI155" s="209" t="str">
        <f>'SIMULADOR COM SALDO'!BJ154</f>
        <v/>
      </c>
      <c r="BJ155" s="209">
        <f>'SIMULADOR COM SALDO'!BK154</f>
        <v>2.2000000000000002</v>
      </c>
      <c r="BK155" s="209">
        <f>'SIMULADOR COM SALDO'!BL154</f>
        <v>10</v>
      </c>
      <c r="BL155" s="209">
        <f>'SIMULADOR COM SALDO'!BM154</f>
        <v>50</v>
      </c>
      <c r="BM155" s="209" t="str">
        <f>'SIMULADOR COM SALDO'!BN154</f>
        <v>RFN - PREF SALVADOR DIG EST 5 PORTAB</v>
      </c>
      <c r="BN155" s="209" t="str">
        <f>'SIMULADOR COM SALDO'!BO154</f>
        <v>1,53</v>
      </c>
      <c r="BO155" s="209">
        <f>'SIMULADOR COM SALDO'!BP154</f>
        <v>1.5300000000000001E-2</v>
      </c>
      <c r="BP155" s="209">
        <f>'SIMULADOR COM SALDO'!BQ154</f>
        <v>2.1697290698850281E-2</v>
      </c>
      <c r="BQ155" s="209">
        <f>'SIMULADOR COM SALDO'!BR154</f>
        <v>2.2000000000000002E-2</v>
      </c>
      <c r="BR155" s="209">
        <f>'SIMULADOR COM SALDO'!BS154</f>
        <v>2.9999999999999997E-4</v>
      </c>
    </row>
    <row r="156" spans="2:70" hidden="1" x14ac:dyDescent="0.25">
      <c r="B156">
        <v>119</v>
      </c>
      <c r="C156" s="13">
        <f t="shared" ca="1" si="80"/>
        <v>48770</v>
      </c>
      <c r="D156" s="14">
        <f t="shared" si="81"/>
        <v>0</v>
      </c>
      <c r="E156" s="14">
        <f t="shared" si="84"/>
        <v>0</v>
      </c>
      <c r="F156" s="14">
        <f t="shared" si="84"/>
        <v>0</v>
      </c>
      <c r="G156" s="14">
        <f t="shared" si="84"/>
        <v>0</v>
      </c>
      <c r="H156" s="14">
        <f t="shared" si="84"/>
        <v>0</v>
      </c>
      <c r="I156" s="14">
        <f t="shared" si="84"/>
        <v>0</v>
      </c>
      <c r="J156" s="14">
        <f t="shared" si="84"/>
        <v>0</v>
      </c>
      <c r="K156" s="14">
        <f t="shared" si="84"/>
        <v>0</v>
      </c>
      <c r="L156" s="14">
        <f t="shared" si="84"/>
        <v>0</v>
      </c>
      <c r="M156" s="224">
        <f t="shared" si="84"/>
        <v>0</v>
      </c>
      <c r="P156" s="161">
        <v>141</v>
      </c>
      <c r="Q156" s="161">
        <f t="shared" si="83"/>
        <v>0</v>
      </c>
      <c r="R156" s="161">
        <f t="shared" si="60"/>
        <v>0</v>
      </c>
      <c r="S156" s="161">
        <f t="shared" si="61"/>
        <v>0</v>
      </c>
      <c r="T156" s="161">
        <f t="shared" si="62"/>
        <v>0</v>
      </c>
      <c r="U156" s="161">
        <f t="shared" si="63"/>
        <v>0</v>
      </c>
      <c r="V156" s="161">
        <f t="shared" si="64"/>
        <v>0</v>
      </c>
      <c r="W156" s="161">
        <f t="shared" si="65"/>
        <v>0</v>
      </c>
      <c r="X156" s="161">
        <f t="shared" si="66"/>
        <v>0</v>
      </c>
      <c r="Y156" s="161">
        <f t="shared" si="67"/>
        <v>0</v>
      </c>
      <c r="Z156" s="161">
        <f t="shared" si="68"/>
        <v>0</v>
      </c>
      <c r="AB156" s="168">
        <v>133</v>
      </c>
      <c r="AC156" s="213">
        <f t="shared" ca="1" si="72"/>
        <v>49197</v>
      </c>
      <c r="AD156" s="214">
        <f t="shared" si="73"/>
        <v>0</v>
      </c>
      <c r="AF156" s="168">
        <v>133</v>
      </c>
      <c r="AG156" s="213">
        <f t="shared" ca="1" si="74"/>
        <v>49197</v>
      </c>
      <c r="AH156" s="208">
        <f t="shared" si="87"/>
        <v>0</v>
      </c>
      <c r="AI156" s="215">
        <f t="shared" ca="1" si="76"/>
        <v>0</v>
      </c>
      <c r="AJ156" s="168">
        <v>133</v>
      </c>
      <c r="AK156" s="213">
        <f t="shared" ca="1" si="75"/>
        <v>49197</v>
      </c>
      <c r="AL156" s="208">
        <f t="shared" si="88"/>
        <v>0</v>
      </c>
      <c r="BC156" s="186" t="str">
        <f t="shared" si="85"/>
        <v>6PREF SALVAD MAR</v>
      </c>
      <c r="BD156" s="186">
        <f t="shared" si="86"/>
        <v>6</v>
      </c>
      <c r="BE156" s="209" t="str">
        <f>'SIMULADOR COM SALDO'!BF155</f>
        <v>PREF SALVAD MAR</v>
      </c>
      <c r="BF156" s="209" t="str">
        <f>'SIMULADOR COM SALDO'!BG155</f>
        <v>705246 - Tabela 6</v>
      </c>
      <c r="BG156" s="209">
        <f>'SIMULADOR COM SALDO'!BH155</f>
        <v>1.8000000000000002E-2</v>
      </c>
      <c r="BH156" s="209">
        <f>'SIMULADOR COM SALDO'!BI155</f>
        <v>120</v>
      </c>
      <c r="BI156" s="209" t="str">
        <f>'SIMULADOR COM SALDO'!BJ155</f>
        <v/>
      </c>
      <c r="BJ156" s="209">
        <f>'SIMULADOR COM SALDO'!BK155</f>
        <v>2.2000000000000002</v>
      </c>
      <c r="BK156" s="209">
        <f>'SIMULADOR COM SALDO'!BL155</f>
        <v>10</v>
      </c>
      <c r="BL156" s="209">
        <f>'SIMULADOR COM SALDO'!BM155</f>
        <v>50</v>
      </c>
      <c r="BM156" s="209" t="str">
        <f>'SIMULADOR COM SALDO'!BN155</f>
        <v>RFN - PREF SALVADOR DIG ESTATUT 6 PORTAB</v>
      </c>
      <c r="BN156" s="209" t="str">
        <f>'SIMULADOR COM SALDO'!BO155</f>
        <v>1,53</v>
      </c>
      <c r="BO156" s="209">
        <f>'SIMULADOR COM SALDO'!BP155</f>
        <v>1.5300000000000001E-2</v>
      </c>
      <c r="BP156" s="209">
        <f>'SIMULADOR COM SALDO'!BQ155</f>
        <v>2.1264850991056589E-2</v>
      </c>
      <c r="BQ156" s="209">
        <f>'SIMULADOR COM SALDO'!BR155</f>
        <v>2.2000000000000002E-2</v>
      </c>
      <c r="BR156" s="209">
        <f>'SIMULADOR COM SALDO'!BS155</f>
        <v>2.9999999999999997E-4</v>
      </c>
    </row>
    <row r="157" spans="2:70" hidden="1" x14ac:dyDescent="0.25">
      <c r="B157">
        <v>120</v>
      </c>
      <c r="C157" s="13">
        <f t="shared" ca="1" si="80"/>
        <v>48801</v>
      </c>
      <c r="D157" s="14">
        <f t="shared" si="81"/>
        <v>0</v>
      </c>
      <c r="E157" s="14">
        <f t="shared" si="84"/>
        <v>0</v>
      </c>
      <c r="F157" s="14">
        <f t="shared" si="84"/>
        <v>0</v>
      </c>
      <c r="G157" s="14">
        <f t="shared" si="84"/>
        <v>0</v>
      </c>
      <c r="H157" s="14">
        <f t="shared" si="84"/>
        <v>0</v>
      </c>
      <c r="I157" s="14">
        <f t="shared" si="84"/>
        <v>0</v>
      </c>
      <c r="J157" s="14">
        <f t="shared" si="84"/>
        <v>0</v>
      </c>
      <c r="K157" s="14">
        <f t="shared" si="84"/>
        <v>0</v>
      </c>
      <c r="L157" s="14">
        <f t="shared" si="84"/>
        <v>0</v>
      </c>
      <c r="M157" s="224">
        <f t="shared" si="84"/>
        <v>0</v>
      </c>
      <c r="P157" s="161">
        <v>142</v>
      </c>
      <c r="Q157" s="161">
        <f t="shared" si="83"/>
        <v>0</v>
      </c>
      <c r="R157" s="161">
        <f t="shared" si="60"/>
        <v>0</v>
      </c>
      <c r="S157" s="161">
        <f t="shared" si="61"/>
        <v>0</v>
      </c>
      <c r="T157" s="161">
        <f t="shared" si="62"/>
        <v>0</v>
      </c>
      <c r="U157" s="161">
        <f t="shared" si="63"/>
        <v>0</v>
      </c>
      <c r="V157" s="161">
        <f t="shared" si="64"/>
        <v>0</v>
      </c>
      <c r="W157" s="161">
        <f t="shared" si="65"/>
        <v>0</v>
      </c>
      <c r="X157" s="161">
        <f t="shared" si="66"/>
        <v>0</v>
      </c>
      <c r="Y157" s="161">
        <f t="shared" si="67"/>
        <v>0</v>
      </c>
      <c r="Z157" s="161">
        <f t="shared" si="68"/>
        <v>0</v>
      </c>
      <c r="AB157" s="168">
        <v>134</v>
      </c>
      <c r="AC157" s="213">
        <f t="shared" ca="1" si="72"/>
        <v>49227</v>
      </c>
      <c r="AD157" s="214">
        <f t="shared" si="73"/>
        <v>0</v>
      </c>
      <c r="AF157" s="168">
        <v>134</v>
      </c>
      <c r="AG157" s="213">
        <f t="shared" ca="1" si="74"/>
        <v>49227</v>
      </c>
      <c r="AH157" s="208">
        <f t="shared" si="87"/>
        <v>0</v>
      </c>
      <c r="AI157" s="215">
        <f t="shared" ca="1" si="76"/>
        <v>0</v>
      </c>
      <c r="AJ157" s="168">
        <v>134</v>
      </c>
      <c r="AK157" s="213">
        <f t="shared" ca="1" si="75"/>
        <v>49227</v>
      </c>
      <c r="AL157" s="208">
        <f t="shared" si="88"/>
        <v>0</v>
      </c>
      <c r="BC157" s="186" t="str">
        <f t="shared" si="85"/>
        <v>7PREF SALVAD MAR</v>
      </c>
      <c r="BD157" s="186">
        <f t="shared" si="86"/>
        <v>7</v>
      </c>
      <c r="BE157" s="209" t="str">
        <f>'SIMULADOR COM SALDO'!BF156</f>
        <v>PREF SALVAD MAR</v>
      </c>
      <c r="BF157" s="209" t="str">
        <f>'SIMULADOR COM SALDO'!BG156</f>
        <v>705248 - Tabela 6</v>
      </c>
      <c r="BG157" s="209">
        <f>'SIMULADOR COM SALDO'!BH156</f>
        <v>1.8000000000000002E-2</v>
      </c>
      <c r="BH157" s="209">
        <f>'SIMULADOR COM SALDO'!BI156</f>
        <v>120</v>
      </c>
      <c r="BI157" s="209" t="str">
        <f>'SIMULADOR COM SALDO'!BJ156</f>
        <v/>
      </c>
      <c r="BJ157" s="209">
        <f>'SIMULADOR COM SALDO'!BK156</f>
        <v>2.2000000000000002</v>
      </c>
      <c r="BK157" s="209">
        <f>'SIMULADOR COM SALDO'!BL156</f>
        <v>10</v>
      </c>
      <c r="BL157" s="209">
        <f>'SIMULADOR COM SALDO'!BM156</f>
        <v>50</v>
      </c>
      <c r="BM157" s="209" t="str">
        <f>'SIMULADOR COM SALDO'!BN156</f>
        <v>RFN - PREF SALVADOR DIG EST 6 PORTAB</v>
      </c>
      <c r="BN157" s="209" t="str">
        <f>'SIMULADOR COM SALDO'!BO156</f>
        <v>1,53</v>
      </c>
      <c r="BO157" s="209">
        <f>'SIMULADOR COM SALDO'!BP156</f>
        <v>1.5300000000000001E-2</v>
      </c>
      <c r="BP157" s="209">
        <f>'SIMULADOR COM SALDO'!BQ156</f>
        <v>2.1264850991056589E-2</v>
      </c>
      <c r="BQ157" s="209">
        <f>'SIMULADOR COM SALDO'!BR156</f>
        <v>2.2000000000000002E-2</v>
      </c>
      <c r="BR157" s="209">
        <f>'SIMULADOR COM SALDO'!BS156</f>
        <v>2.9999999999999997E-4</v>
      </c>
    </row>
    <row r="158" spans="2:70" hidden="1" x14ac:dyDescent="0.25">
      <c r="B158">
        <v>121</v>
      </c>
      <c r="C158" s="13">
        <f t="shared" ca="1" si="80"/>
        <v>48832</v>
      </c>
      <c r="D158" s="14">
        <f t="shared" si="81"/>
        <v>0</v>
      </c>
      <c r="E158" s="14">
        <f t="shared" si="84"/>
        <v>0</v>
      </c>
      <c r="F158" s="14">
        <f t="shared" si="84"/>
        <v>0</v>
      </c>
      <c r="G158" s="14">
        <f t="shared" si="84"/>
        <v>0</v>
      </c>
      <c r="H158" s="14">
        <f t="shared" si="84"/>
        <v>0</v>
      </c>
      <c r="I158" s="14">
        <f t="shared" si="84"/>
        <v>0</v>
      </c>
      <c r="J158" s="14">
        <f t="shared" si="84"/>
        <v>0</v>
      </c>
      <c r="K158" s="14">
        <f t="shared" si="84"/>
        <v>0</v>
      </c>
      <c r="L158" s="14">
        <f t="shared" si="84"/>
        <v>0</v>
      </c>
      <c r="M158" s="224">
        <f t="shared" si="84"/>
        <v>0</v>
      </c>
      <c r="P158" s="161">
        <v>143</v>
      </c>
      <c r="Q158" s="161">
        <f t="shared" si="83"/>
        <v>0</v>
      </c>
      <c r="R158" s="161">
        <f t="shared" si="60"/>
        <v>0</v>
      </c>
      <c r="S158" s="161">
        <f t="shared" si="61"/>
        <v>0</v>
      </c>
      <c r="T158" s="161">
        <f t="shared" si="62"/>
        <v>0</v>
      </c>
      <c r="U158" s="161">
        <f t="shared" si="63"/>
        <v>0</v>
      </c>
      <c r="V158" s="161">
        <f t="shared" si="64"/>
        <v>0</v>
      </c>
      <c r="W158" s="161">
        <f t="shared" si="65"/>
        <v>0</v>
      </c>
      <c r="X158" s="161">
        <f t="shared" si="66"/>
        <v>0</v>
      </c>
      <c r="Y158" s="161">
        <f t="shared" si="67"/>
        <v>0</v>
      </c>
      <c r="Z158" s="161">
        <f t="shared" si="68"/>
        <v>0</v>
      </c>
      <c r="AB158" s="168">
        <v>135</v>
      </c>
      <c r="AC158" s="213">
        <f t="shared" ca="1" si="72"/>
        <v>49258</v>
      </c>
      <c r="AD158" s="214">
        <f t="shared" si="73"/>
        <v>0</v>
      </c>
      <c r="AF158" s="168">
        <v>135</v>
      </c>
      <c r="AG158" s="213">
        <f t="shared" ca="1" si="74"/>
        <v>49258</v>
      </c>
      <c r="AH158" s="208">
        <f t="shared" si="87"/>
        <v>0</v>
      </c>
      <c r="AI158" s="215">
        <f t="shared" ca="1" si="76"/>
        <v>0</v>
      </c>
      <c r="AJ158" s="168">
        <v>135</v>
      </c>
      <c r="AK158" s="213">
        <f t="shared" ca="1" si="75"/>
        <v>49258</v>
      </c>
      <c r="AL158" s="208">
        <f t="shared" si="88"/>
        <v>0</v>
      </c>
      <c r="BC158" s="186" t="str">
        <f t="shared" si="85"/>
        <v>8PREF SALVAD MAR</v>
      </c>
      <c r="BD158" s="186">
        <f t="shared" si="86"/>
        <v>8</v>
      </c>
      <c r="BE158" s="209" t="str">
        <f>'SIMULADOR COM SALDO'!BF157</f>
        <v>PREF SALVAD MAR</v>
      </c>
      <c r="BF158" s="209" t="str">
        <f>'SIMULADOR COM SALDO'!BG157</f>
        <v>705249 - Tabela 7</v>
      </c>
      <c r="BG158" s="209">
        <f>'SIMULADOR COM SALDO'!BH157</f>
        <v>1.78E-2</v>
      </c>
      <c r="BH158" s="209">
        <f>'SIMULADOR COM SALDO'!BI157</f>
        <v>120</v>
      </c>
      <c r="BI158" s="209" t="str">
        <f>'SIMULADOR COM SALDO'!BJ157</f>
        <v/>
      </c>
      <c r="BJ158" s="209">
        <f>'SIMULADOR COM SALDO'!BK157</f>
        <v>2.2000000000000002</v>
      </c>
      <c r="BK158" s="209">
        <f>'SIMULADOR COM SALDO'!BL157</f>
        <v>10</v>
      </c>
      <c r="BL158" s="209">
        <f>'SIMULADOR COM SALDO'!BM157</f>
        <v>50</v>
      </c>
      <c r="BM158" s="209" t="str">
        <f>'SIMULADOR COM SALDO'!BN157</f>
        <v>RFN - PREF SALVADOR DIG ESTATUT 7 PORTAB</v>
      </c>
      <c r="BN158" s="209" t="str">
        <f>'SIMULADOR COM SALDO'!BO157</f>
        <v>1,53</v>
      </c>
      <c r="BO158" s="209">
        <f>'SIMULADOR COM SALDO'!BP157</f>
        <v>1.5300000000000001E-2</v>
      </c>
      <c r="BP158" s="209">
        <f>'SIMULADOR COM SALDO'!BQ157</f>
        <v>2.1092863633945105E-2</v>
      </c>
      <c r="BQ158" s="209">
        <f>'SIMULADOR COM SALDO'!BR157</f>
        <v>2.2000000000000002E-2</v>
      </c>
      <c r="BR158" s="209">
        <f>'SIMULADOR COM SALDO'!BS157</f>
        <v>2.9999999999999997E-4</v>
      </c>
    </row>
    <row r="159" spans="2:70" hidden="1" x14ac:dyDescent="0.25">
      <c r="B159">
        <v>122</v>
      </c>
      <c r="C159" s="13">
        <f t="shared" ca="1" si="80"/>
        <v>48862</v>
      </c>
      <c r="D159" s="14">
        <f t="shared" si="81"/>
        <v>0</v>
      </c>
      <c r="E159" s="14">
        <f t="shared" si="84"/>
        <v>0</v>
      </c>
      <c r="F159" s="14">
        <f t="shared" si="84"/>
        <v>0</v>
      </c>
      <c r="G159" s="14">
        <f t="shared" si="84"/>
        <v>0</v>
      </c>
      <c r="H159" s="14">
        <f t="shared" si="84"/>
        <v>0</v>
      </c>
      <c r="I159" s="14">
        <f t="shared" si="84"/>
        <v>0</v>
      </c>
      <c r="J159" s="14">
        <f t="shared" si="84"/>
        <v>0</v>
      </c>
      <c r="K159" s="14">
        <f t="shared" si="84"/>
        <v>0</v>
      </c>
      <c r="L159" s="14">
        <f t="shared" si="84"/>
        <v>0</v>
      </c>
      <c r="M159" s="224">
        <f t="shared" si="84"/>
        <v>0</v>
      </c>
      <c r="P159" s="161">
        <v>144</v>
      </c>
      <c r="Q159" s="161">
        <f t="shared" si="83"/>
        <v>0</v>
      </c>
      <c r="R159" s="161">
        <f t="shared" si="60"/>
        <v>0</v>
      </c>
      <c r="S159" s="161">
        <f t="shared" si="61"/>
        <v>0</v>
      </c>
      <c r="T159" s="161">
        <f t="shared" si="62"/>
        <v>0</v>
      </c>
      <c r="U159" s="161">
        <f t="shared" si="63"/>
        <v>0</v>
      </c>
      <c r="V159" s="161">
        <f t="shared" si="64"/>
        <v>0</v>
      </c>
      <c r="W159" s="161">
        <f t="shared" si="65"/>
        <v>0</v>
      </c>
      <c r="X159" s="161">
        <f t="shared" si="66"/>
        <v>0</v>
      </c>
      <c r="Y159" s="161">
        <f t="shared" si="67"/>
        <v>0</v>
      </c>
      <c r="Z159" s="161">
        <f t="shared" si="68"/>
        <v>0</v>
      </c>
      <c r="AB159" s="168">
        <v>136</v>
      </c>
      <c r="AC159" s="213">
        <f t="shared" ca="1" si="72"/>
        <v>49288</v>
      </c>
      <c r="AD159" s="214">
        <f t="shared" si="73"/>
        <v>0</v>
      </c>
      <c r="AF159" s="168">
        <v>136</v>
      </c>
      <c r="AG159" s="213">
        <f t="shared" ca="1" si="74"/>
        <v>49288</v>
      </c>
      <c r="AH159" s="208">
        <f t="shared" si="87"/>
        <v>0</v>
      </c>
      <c r="AI159" s="215">
        <f t="shared" ca="1" si="76"/>
        <v>0</v>
      </c>
      <c r="AJ159" s="168">
        <v>136</v>
      </c>
      <c r="AK159" s="213">
        <f t="shared" ca="1" si="75"/>
        <v>49288</v>
      </c>
      <c r="AL159" s="208">
        <f t="shared" si="88"/>
        <v>0</v>
      </c>
      <c r="BC159" s="186" t="str">
        <f t="shared" si="85"/>
        <v>9PREF SALVAD MAR</v>
      </c>
      <c r="BD159" s="186">
        <f t="shared" si="86"/>
        <v>9</v>
      </c>
      <c r="BE159" s="209" t="str">
        <f>'SIMULADOR COM SALDO'!BF158</f>
        <v>PREF SALVAD MAR</v>
      </c>
      <c r="BF159" s="209" t="str">
        <f>'SIMULADOR COM SALDO'!BG158</f>
        <v>705251 - Tabela 7</v>
      </c>
      <c r="BG159" s="209">
        <f>'SIMULADOR COM SALDO'!BH158</f>
        <v>1.78E-2</v>
      </c>
      <c r="BH159" s="209">
        <f>'SIMULADOR COM SALDO'!BI158</f>
        <v>120</v>
      </c>
      <c r="BI159" s="209" t="str">
        <f>'SIMULADOR COM SALDO'!BJ158</f>
        <v/>
      </c>
      <c r="BJ159" s="209">
        <f>'SIMULADOR COM SALDO'!BK158</f>
        <v>2.2000000000000002</v>
      </c>
      <c r="BK159" s="209">
        <f>'SIMULADOR COM SALDO'!BL158</f>
        <v>10</v>
      </c>
      <c r="BL159" s="209">
        <f>'SIMULADOR COM SALDO'!BM158</f>
        <v>50</v>
      </c>
      <c r="BM159" s="209" t="str">
        <f>'SIMULADOR COM SALDO'!BN158</f>
        <v>RFN - PREF SALVADOR DIG EST 7 PORTAB</v>
      </c>
      <c r="BN159" s="209" t="str">
        <f>'SIMULADOR COM SALDO'!BO158</f>
        <v>1,53</v>
      </c>
      <c r="BO159" s="209">
        <f>'SIMULADOR COM SALDO'!BP158</f>
        <v>1.5300000000000001E-2</v>
      </c>
      <c r="BP159" s="209">
        <f>'SIMULADOR COM SALDO'!BQ158</f>
        <v>2.1092863633945105E-2</v>
      </c>
      <c r="BQ159" s="209">
        <f>'SIMULADOR COM SALDO'!BR158</f>
        <v>2.2000000000000002E-2</v>
      </c>
      <c r="BR159" s="209">
        <f>'SIMULADOR COM SALDO'!BS158</f>
        <v>2.9999999999999997E-4</v>
      </c>
    </row>
    <row r="160" spans="2:70" hidden="1" x14ac:dyDescent="0.25">
      <c r="B160">
        <v>123</v>
      </c>
      <c r="C160" s="13">
        <f t="shared" ca="1" si="80"/>
        <v>48893</v>
      </c>
      <c r="D160" s="14">
        <f t="shared" si="81"/>
        <v>0</v>
      </c>
      <c r="E160" s="14">
        <f t="shared" si="84"/>
        <v>0</v>
      </c>
      <c r="F160" s="14">
        <f t="shared" si="84"/>
        <v>0</v>
      </c>
      <c r="G160" s="14">
        <f t="shared" si="84"/>
        <v>0</v>
      </c>
      <c r="H160" s="14">
        <f t="shared" si="84"/>
        <v>0</v>
      </c>
      <c r="I160" s="14">
        <f t="shared" si="84"/>
        <v>0</v>
      </c>
      <c r="J160" s="14">
        <f t="shared" si="84"/>
        <v>0</v>
      </c>
      <c r="K160" s="14">
        <f t="shared" si="84"/>
        <v>0</v>
      </c>
      <c r="L160" s="14">
        <f t="shared" si="84"/>
        <v>0</v>
      </c>
      <c r="M160" s="224">
        <f t="shared" si="84"/>
        <v>0</v>
      </c>
      <c r="Q160" s="225">
        <f ca="1">XIRR(Q15:Q159,$AC$23:$AC$167,0)</f>
        <v>0.20646674316406249</v>
      </c>
      <c r="R160" s="225">
        <f t="shared" ref="R160:Z160" ca="1" si="89">XIRR(R15:R159,$AC$23:$AC$167,0)</f>
        <v>0.2449969189453125</v>
      </c>
      <c r="S160" s="225" t="e">
        <f t="shared" ca="1" si="89"/>
        <v>#NUM!</v>
      </c>
      <c r="T160" s="225" t="e">
        <f t="shared" ca="1" si="89"/>
        <v>#NUM!</v>
      </c>
      <c r="U160" s="225" t="e">
        <f t="shared" ca="1" si="89"/>
        <v>#NUM!</v>
      </c>
      <c r="V160" s="225" t="e">
        <f t="shared" ca="1" si="89"/>
        <v>#NUM!</v>
      </c>
      <c r="W160" s="225" t="e">
        <f t="shared" ca="1" si="89"/>
        <v>#NUM!</v>
      </c>
      <c r="X160" s="225" t="e">
        <f t="shared" ca="1" si="89"/>
        <v>#NUM!</v>
      </c>
      <c r="Y160" s="225" t="e">
        <f t="shared" ca="1" si="89"/>
        <v>#NUM!</v>
      </c>
      <c r="Z160" s="225" t="e">
        <f t="shared" ca="1" si="89"/>
        <v>#NUM!</v>
      </c>
      <c r="AB160" s="168">
        <v>137</v>
      </c>
      <c r="AC160" s="213">
        <f t="shared" ca="1" si="72"/>
        <v>49319</v>
      </c>
      <c r="AD160" s="214">
        <f t="shared" si="73"/>
        <v>0</v>
      </c>
      <c r="AF160" s="168">
        <v>137</v>
      </c>
      <c r="AG160" s="213">
        <f t="shared" ca="1" si="74"/>
        <v>49319</v>
      </c>
      <c r="AH160" s="208">
        <f t="shared" si="87"/>
        <v>0</v>
      </c>
      <c r="AI160" s="215">
        <f t="shared" ca="1" si="76"/>
        <v>0</v>
      </c>
      <c r="AJ160" s="168">
        <v>137</v>
      </c>
      <c r="AK160" s="213">
        <f t="shared" ca="1" si="75"/>
        <v>49319</v>
      </c>
      <c r="AL160" s="208">
        <f t="shared" si="88"/>
        <v>0</v>
      </c>
      <c r="BC160" s="186" t="str">
        <f t="shared" si="85"/>
        <v>1PREF SJ PINHAIS</v>
      </c>
      <c r="BD160" s="186">
        <f t="shared" si="86"/>
        <v>1</v>
      </c>
      <c r="BE160" s="209" t="str">
        <f>'SIMULADOR COM SALDO'!BF159</f>
        <v>PREF SJ PINHAIS</v>
      </c>
      <c r="BF160" s="209" t="str">
        <f>'SIMULADOR COM SALDO'!BG159</f>
        <v xml:space="preserve">745681 - Tabela </v>
      </c>
      <c r="BG160" s="209">
        <f>'SIMULADOR COM SALDO'!BH159</f>
        <v>1.8500000000000003E-2</v>
      </c>
      <c r="BH160" s="209">
        <f>'SIMULADOR COM SALDO'!BI159</f>
        <v>120</v>
      </c>
      <c r="BI160" s="209" t="str">
        <f>'SIMULADOR COM SALDO'!BJ159</f>
        <v/>
      </c>
      <c r="BJ160" s="209">
        <f>'SIMULADOR COM SALDO'!BK159</f>
        <v>2</v>
      </c>
      <c r="BK160" s="209">
        <f>'SIMULADOR COM SALDO'!BL159</f>
        <v>15</v>
      </c>
      <c r="BL160" s="209">
        <f>'SIMULADOR COM SALDO'!BM159</f>
        <v>61</v>
      </c>
      <c r="BM160" s="209" t="str">
        <f>'SIMULADOR COM SALDO'!BN159</f>
        <v>RFN - PREF SAO JOSE PINHAIS DIG PORTAB</v>
      </c>
      <c r="BN160" s="209" t="str">
        <f>'SIMULADOR COM SALDO'!BO159</f>
        <v>1,6</v>
      </c>
      <c r="BO160" s="209">
        <f>'SIMULADOR COM SALDO'!BP159</f>
        <v>1.6E-2</v>
      </c>
      <c r="BP160" s="209">
        <f>'SIMULADOR COM SALDO'!BQ159</f>
        <v>2.1843617005048659E-2</v>
      </c>
      <c r="BQ160" s="209">
        <f>'SIMULADOR COM SALDO'!BR159</f>
        <v>0.02</v>
      </c>
      <c r="BR160" s="209">
        <f>'SIMULADOR COM SALDO'!BS159</f>
        <v>2.9999999999999997E-4</v>
      </c>
    </row>
    <row r="161" spans="2:70" hidden="1" x14ac:dyDescent="0.25">
      <c r="B161">
        <v>124</v>
      </c>
      <c r="C161" s="13">
        <f t="shared" ca="1" si="80"/>
        <v>48923</v>
      </c>
      <c r="D161" s="14">
        <f t="shared" si="81"/>
        <v>0</v>
      </c>
      <c r="E161" s="14">
        <f t="shared" si="84"/>
        <v>0</v>
      </c>
      <c r="F161" s="14">
        <f t="shared" si="84"/>
        <v>0</v>
      </c>
      <c r="G161" s="14">
        <f t="shared" si="84"/>
        <v>0</v>
      </c>
      <c r="H161" s="14">
        <f t="shared" si="84"/>
        <v>0</v>
      </c>
      <c r="I161" s="14">
        <f t="shared" si="84"/>
        <v>0</v>
      </c>
      <c r="J161" s="14">
        <f t="shared" si="84"/>
        <v>0</v>
      </c>
      <c r="K161" s="14">
        <f t="shared" si="84"/>
        <v>0</v>
      </c>
      <c r="L161" s="14">
        <f t="shared" si="84"/>
        <v>0</v>
      </c>
      <c r="M161" s="224">
        <f t="shared" si="84"/>
        <v>0</v>
      </c>
      <c r="Q161" s="226">
        <f ca="1">(Q160+1)^(30/365)-1</f>
        <v>1.5546683428497632E-2</v>
      </c>
      <c r="R161" s="226">
        <f t="shared" ref="R161:Z161" ca="1" si="90">(R160+1)^(30/365)-1</f>
        <v>1.81741111231839E-2</v>
      </c>
      <c r="S161" s="226" t="e">
        <f t="shared" ca="1" si="90"/>
        <v>#NUM!</v>
      </c>
      <c r="T161" s="226" t="e">
        <f t="shared" ca="1" si="90"/>
        <v>#NUM!</v>
      </c>
      <c r="U161" s="226" t="e">
        <f t="shared" ca="1" si="90"/>
        <v>#NUM!</v>
      </c>
      <c r="V161" s="226" t="e">
        <f t="shared" ca="1" si="90"/>
        <v>#NUM!</v>
      </c>
      <c r="W161" s="226" t="e">
        <f t="shared" ca="1" si="90"/>
        <v>#NUM!</v>
      </c>
      <c r="X161" s="226" t="e">
        <f t="shared" ca="1" si="90"/>
        <v>#NUM!</v>
      </c>
      <c r="Y161" s="226" t="e">
        <f t="shared" ca="1" si="90"/>
        <v>#NUM!</v>
      </c>
      <c r="Z161" s="226" t="e">
        <f t="shared" ca="1" si="90"/>
        <v>#NUM!</v>
      </c>
      <c r="AB161" s="168">
        <v>138</v>
      </c>
      <c r="AC161" s="213">
        <f t="shared" ca="1" si="72"/>
        <v>49350</v>
      </c>
      <c r="AD161" s="214">
        <f t="shared" si="73"/>
        <v>0</v>
      </c>
      <c r="AF161" s="168">
        <v>138</v>
      </c>
      <c r="AG161" s="213">
        <f t="shared" ca="1" si="74"/>
        <v>49350</v>
      </c>
      <c r="AH161" s="208">
        <f t="shared" si="87"/>
        <v>0</v>
      </c>
      <c r="AI161" s="215">
        <f t="shared" ca="1" si="76"/>
        <v>0</v>
      </c>
      <c r="AJ161" s="168">
        <v>138</v>
      </c>
      <c r="AK161" s="213">
        <f t="shared" ca="1" si="75"/>
        <v>49350</v>
      </c>
      <c r="AL161" s="208">
        <f t="shared" si="88"/>
        <v>0</v>
      </c>
      <c r="BC161" s="186" t="str">
        <f t="shared" si="85"/>
        <v>1PREF SOROCABA</v>
      </c>
      <c r="BD161" s="186">
        <f t="shared" si="86"/>
        <v>1</v>
      </c>
      <c r="BE161" s="209" t="str">
        <f>'SIMULADOR COM SALDO'!BF160</f>
        <v>PREF SOROCABA</v>
      </c>
      <c r="BF161" s="209" t="str">
        <f>'SIMULADOR COM SALDO'!BG160</f>
        <v>785121 - Tabela 1</v>
      </c>
      <c r="BG161" s="209">
        <f>'SIMULADOR COM SALDO'!BH160</f>
        <v>1.9599999999999999E-2</v>
      </c>
      <c r="BH161" s="209">
        <f>'SIMULADOR COM SALDO'!BI160</f>
        <v>120</v>
      </c>
      <c r="BI161" s="209" t="str">
        <f>'SIMULADOR COM SALDO'!BJ160</f>
        <v/>
      </c>
      <c r="BJ161" s="209">
        <f>'SIMULADOR COM SALDO'!BK160</f>
        <v>2.1</v>
      </c>
      <c r="BK161" s="209">
        <f>'SIMULADOR COM SALDO'!BL160</f>
        <v>15</v>
      </c>
      <c r="BL161" s="209">
        <f>'SIMULADOR COM SALDO'!BM160</f>
        <v>50</v>
      </c>
      <c r="BM161" s="209" t="str">
        <f>'SIMULADOR COM SALDO'!BN160</f>
        <v>RFN - PREF SOROCABA 1 DIG PORTAB</v>
      </c>
      <c r="BN161" s="209" t="str">
        <f>'SIMULADOR COM SALDO'!BO160</f>
        <v>1,71</v>
      </c>
      <c r="BO161" s="209">
        <f>'SIMULADOR COM SALDO'!BP160</f>
        <v>1.7100000000000001E-2</v>
      </c>
      <c r="BP161" s="209">
        <f>'SIMULADOR COM SALDO'!BQ160</f>
        <v>2.2660767634837879E-2</v>
      </c>
      <c r="BQ161" s="209">
        <f>'SIMULADOR COM SALDO'!BR160</f>
        <v>2.1000000000000001E-2</v>
      </c>
      <c r="BR161" s="209">
        <f>'SIMULADOR COM SALDO'!BS160</f>
        <v>2.9999999999999997E-4</v>
      </c>
    </row>
    <row r="162" spans="2:70" hidden="1" x14ac:dyDescent="0.25">
      <c r="B162">
        <v>125</v>
      </c>
      <c r="C162" s="13">
        <f t="shared" ca="1" si="80"/>
        <v>48954</v>
      </c>
      <c r="D162" s="14">
        <f t="shared" si="81"/>
        <v>0</v>
      </c>
      <c r="E162" s="14">
        <f t="shared" si="84"/>
        <v>0</v>
      </c>
      <c r="F162" s="14">
        <f t="shared" si="84"/>
        <v>0</v>
      </c>
      <c r="G162" s="14">
        <f t="shared" si="84"/>
        <v>0</v>
      </c>
      <c r="H162" s="14">
        <f t="shared" si="84"/>
        <v>0</v>
      </c>
      <c r="I162" s="14">
        <f t="shared" si="84"/>
        <v>0</v>
      </c>
      <c r="J162" s="14">
        <f t="shared" si="84"/>
        <v>0</v>
      </c>
      <c r="K162" s="14">
        <f t="shared" si="84"/>
        <v>0</v>
      </c>
      <c r="L162" s="14">
        <f t="shared" si="84"/>
        <v>0</v>
      </c>
      <c r="M162" s="224">
        <f t="shared" si="84"/>
        <v>0</v>
      </c>
      <c r="AB162" s="168">
        <v>139</v>
      </c>
      <c r="AC162" s="213">
        <f t="shared" ca="1" si="72"/>
        <v>49378</v>
      </c>
      <c r="AD162" s="214">
        <f t="shared" si="73"/>
        <v>0</v>
      </c>
      <c r="AF162" s="168">
        <v>139</v>
      </c>
      <c r="AG162" s="213">
        <f t="shared" ca="1" si="74"/>
        <v>49378</v>
      </c>
      <c r="AH162" s="208">
        <f t="shared" si="87"/>
        <v>0</v>
      </c>
      <c r="AI162" s="215">
        <f t="shared" ca="1" si="76"/>
        <v>0</v>
      </c>
      <c r="AJ162" s="168">
        <v>139</v>
      </c>
      <c r="AK162" s="213">
        <f t="shared" ca="1" si="75"/>
        <v>49378</v>
      </c>
      <c r="AL162" s="208">
        <f t="shared" si="88"/>
        <v>0</v>
      </c>
      <c r="BC162" s="186" t="str">
        <f t="shared" si="85"/>
        <v>1PREF SP</v>
      </c>
      <c r="BD162" s="186">
        <f t="shared" si="86"/>
        <v>1</v>
      </c>
      <c r="BE162" s="209" t="str">
        <f>'SIMULADOR COM SALDO'!BF161</f>
        <v>PREF SP</v>
      </c>
      <c r="BF162" s="209" t="str">
        <f>'SIMULADOR COM SALDO'!BG161</f>
        <v>795921 - Tabela 1</v>
      </c>
      <c r="BG162" s="209">
        <f>'SIMULADOR COM SALDO'!BH161</f>
        <v>1.95E-2</v>
      </c>
      <c r="BH162" s="209">
        <f>'SIMULADOR COM SALDO'!BI161</f>
        <v>96</v>
      </c>
      <c r="BI162" s="209" t="str">
        <f>'SIMULADOR COM SALDO'!BJ161</f>
        <v/>
      </c>
      <c r="BJ162" s="209">
        <f>'SIMULADOR COM SALDO'!BK161</f>
        <v>1.95</v>
      </c>
      <c r="BK162" s="209">
        <f>'SIMULADOR COM SALDO'!BL161</f>
        <v>15</v>
      </c>
      <c r="BL162" s="209">
        <f>'SIMULADOR COM SALDO'!BM161</f>
        <v>57</v>
      </c>
      <c r="BM162" s="209" t="str">
        <f>'SIMULADOR COM SALDO'!BN161</f>
        <v>RFN - PREF SP DIG PORTAB 1</v>
      </c>
      <c r="BN162" s="209" t="str">
        <f>'SIMULADOR COM SALDO'!BO161</f>
        <v>1,19</v>
      </c>
      <c r="BO162" s="209">
        <f>'SIMULADOR COM SALDO'!BP161</f>
        <v>1.1899999999999999E-2</v>
      </c>
      <c r="BP162" s="209">
        <f>'SIMULADOR COM SALDO'!BQ161</f>
        <v>2.4236213056945122E-2</v>
      </c>
      <c r="BQ162" s="209">
        <f>'SIMULADOR COM SALDO'!BR161</f>
        <v>1.95E-2</v>
      </c>
      <c r="BR162" s="209">
        <f>'SIMULADOR COM SALDO'!BS161</f>
        <v>2.9999999999999997E-4</v>
      </c>
    </row>
    <row r="163" spans="2:70" hidden="1" x14ac:dyDescent="0.25">
      <c r="B163">
        <v>126</v>
      </c>
      <c r="C163" s="13">
        <f t="shared" ca="1" si="80"/>
        <v>48985</v>
      </c>
      <c r="D163" s="14">
        <f t="shared" si="81"/>
        <v>0</v>
      </c>
      <c r="E163" s="14">
        <f t="shared" si="84"/>
        <v>0</v>
      </c>
      <c r="F163" s="14">
        <f t="shared" si="84"/>
        <v>0</v>
      </c>
      <c r="G163" s="14">
        <f t="shared" si="84"/>
        <v>0</v>
      </c>
      <c r="H163" s="14">
        <f t="shared" si="84"/>
        <v>0</v>
      </c>
      <c r="I163" s="14">
        <f t="shared" si="84"/>
        <v>0</v>
      </c>
      <c r="J163" s="14">
        <f t="shared" si="84"/>
        <v>0</v>
      </c>
      <c r="K163" s="14">
        <f t="shared" si="84"/>
        <v>0</v>
      </c>
      <c r="L163" s="14">
        <f t="shared" si="84"/>
        <v>0</v>
      </c>
      <c r="M163" s="224">
        <f t="shared" si="84"/>
        <v>0</v>
      </c>
      <c r="AB163" s="168">
        <v>140</v>
      </c>
      <c r="AC163" s="213">
        <f t="shared" ca="1" si="72"/>
        <v>49409</v>
      </c>
      <c r="AD163" s="214">
        <f t="shared" si="73"/>
        <v>0</v>
      </c>
      <c r="AF163" s="168">
        <v>140</v>
      </c>
      <c r="AG163" s="213">
        <f t="shared" ca="1" si="74"/>
        <v>49409</v>
      </c>
      <c r="AH163" s="208">
        <f t="shared" si="87"/>
        <v>0</v>
      </c>
      <c r="AI163" s="215">
        <f t="shared" ca="1" si="76"/>
        <v>0</v>
      </c>
      <c r="AJ163" s="168">
        <v>140</v>
      </c>
      <c r="AK163" s="213">
        <f t="shared" ca="1" si="75"/>
        <v>49409</v>
      </c>
      <c r="AL163" s="208">
        <f t="shared" si="88"/>
        <v>0</v>
      </c>
      <c r="BC163" s="186" t="str">
        <f t="shared" si="85"/>
        <v>2PREF SP</v>
      </c>
      <c r="BD163" s="186">
        <f t="shared" si="86"/>
        <v>2</v>
      </c>
      <c r="BE163" s="209" t="str">
        <f>'SIMULADOR COM SALDO'!BF162</f>
        <v>PREF SP</v>
      </c>
      <c r="BF163" s="209" t="str">
        <f>'SIMULADOR COM SALDO'!BG162</f>
        <v>795925 - Tabela 2</v>
      </c>
      <c r="BG163" s="209">
        <f>'SIMULADOR COM SALDO'!BH162</f>
        <v>1.8500000000000003E-2</v>
      </c>
      <c r="BH163" s="209">
        <f>'SIMULADOR COM SALDO'!BI162</f>
        <v>96</v>
      </c>
      <c r="BI163" s="209" t="str">
        <f>'SIMULADOR COM SALDO'!BJ162</f>
        <v/>
      </c>
      <c r="BJ163" s="209">
        <f>'SIMULADOR COM SALDO'!BK162</f>
        <v>1.95</v>
      </c>
      <c r="BK163" s="209">
        <f>'SIMULADOR COM SALDO'!BL162</f>
        <v>15</v>
      </c>
      <c r="BL163" s="209">
        <f>'SIMULADOR COM SALDO'!BM162</f>
        <v>57</v>
      </c>
      <c r="BM163" s="209" t="str">
        <f>'SIMULADOR COM SALDO'!BN162</f>
        <v>RFN - PREF SP DIG PORTAB 2</v>
      </c>
      <c r="BN163" s="209" t="str">
        <f>'SIMULADOR COM SALDO'!BO162</f>
        <v>1,19</v>
      </c>
      <c r="BO163" s="209">
        <f>'SIMULADOR COM SALDO'!BP162</f>
        <v>1.1899999999999999E-2</v>
      </c>
      <c r="BP163" s="209">
        <f>'SIMULADOR COM SALDO'!BQ162</f>
        <v>2.3402343252657325E-2</v>
      </c>
      <c r="BQ163" s="209">
        <f>'SIMULADOR COM SALDO'!BR162</f>
        <v>1.95E-2</v>
      </c>
      <c r="BR163" s="209">
        <f>'SIMULADOR COM SALDO'!BS162</f>
        <v>2.9999999999999997E-4</v>
      </c>
    </row>
    <row r="164" spans="2:70" hidden="1" x14ac:dyDescent="0.25">
      <c r="B164">
        <v>127</v>
      </c>
      <c r="C164" s="13">
        <f t="shared" ca="1" si="80"/>
        <v>49013</v>
      </c>
      <c r="D164" s="14">
        <f t="shared" si="81"/>
        <v>0</v>
      </c>
      <c r="E164" s="14">
        <f t="shared" si="84"/>
        <v>0</v>
      </c>
      <c r="F164" s="14">
        <f t="shared" si="84"/>
        <v>0</v>
      </c>
      <c r="G164" s="14">
        <f t="shared" si="84"/>
        <v>0</v>
      </c>
      <c r="H164" s="14">
        <f t="shared" si="84"/>
        <v>0</v>
      </c>
      <c r="I164" s="14">
        <f t="shared" si="84"/>
        <v>0</v>
      </c>
      <c r="J164" s="14">
        <f t="shared" si="84"/>
        <v>0</v>
      </c>
      <c r="K164" s="14">
        <f t="shared" si="84"/>
        <v>0</v>
      </c>
      <c r="L164" s="14">
        <f t="shared" si="84"/>
        <v>0</v>
      </c>
      <c r="M164" s="224">
        <f t="shared" si="84"/>
        <v>0</v>
      </c>
      <c r="AB164" s="168">
        <v>141</v>
      </c>
      <c r="AC164" s="213">
        <f t="shared" ca="1" si="72"/>
        <v>49439</v>
      </c>
      <c r="AD164" s="214">
        <f t="shared" si="73"/>
        <v>0</v>
      </c>
      <c r="AF164" s="168">
        <v>141</v>
      </c>
      <c r="AG164" s="213">
        <f t="shared" ca="1" si="74"/>
        <v>49439</v>
      </c>
      <c r="AH164" s="208">
        <f t="shared" si="87"/>
        <v>0</v>
      </c>
      <c r="AI164" s="215">
        <f t="shared" ca="1" si="76"/>
        <v>0</v>
      </c>
      <c r="AJ164" s="168">
        <v>141</v>
      </c>
      <c r="AK164" s="213">
        <f t="shared" ca="1" si="75"/>
        <v>49439</v>
      </c>
      <c r="AL164" s="208">
        <f t="shared" si="88"/>
        <v>0</v>
      </c>
      <c r="BC164" s="186" t="str">
        <f t="shared" si="85"/>
        <v>3PREF SP</v>
      </c>
      <c r="BD164" s="186">
        <f t="shared" si="86"/>
        <v>3</v>
      </c>
      <c r="BE164" s="209" t="str">
        <f>'SIMULADOR COM SALDO'!BF163</f>
        <v>PREF SP</v>
      </c>
      <c r="BF164" s="209" t="str">
        <f>'SIMULADOR COM SALDO'!BG163</f>
        <v>795926 - Tabela 3</v>
      </c>
      <c r="BG164" s="209">
        <f>'SIMULADOR COM SALDO'!BH163</f>
        <v>1.7399999999999999E-2</v>
      </c>
      <c r="BH164" s="209">
        <f>'SIMULADOR COM SALDO'!BI163</f>
        <v>96</v>
      </c>
      <c r="BI164" s="209" t="str">
        <f>'SIMULADOR COM SALDO'!BJ163</f>
        <v/>
      </c>
      <c r="BJ164" s="209">
        <f>'SIMULADOR COM SALDO'!BK163</f>
        <v>1.95</v>
      </c>
      <c r="BK164" s="209">
        <f>'SIMULADOR COM SALDO'!BL163</f>
        <v>15</v>
      </c>
      <c r="BL164" s="209">
        <f>'SIMULADOR COM SALDO'!BM163</f>
        <v>57</v>
      </c>
      <c r="BM164" s="209" t="str">
        <f>'SIMULADOR COM SALDO'!BN163</f>
        <v>RFN - PREF SP DIG PORTAB 3</v>
      </c>
      <c r="BN164" s="209" t="str">
        <f>'SIMULADOR COM SALDO'!BO163</f>
        <v>1,19</v>
      </c>
      <c r="BO164" s="209">
        <f>'SIMULADOR COM SALDO'!BP163</f>
        <v>1.1899999999999999E-2</v>
      </c>
      <c r="BP164" s="209">
        <f>'SIMULADOR COM SALDO'!BQ163</f>
        <v>2.2500677638346542E-2</v>
      </c>
      <c r="BQ164" s="209">
        <f>'SIMULADOR COM SALDO'!BR163</f>
        <v>1.95E-2</v>
      </c>
      <c r="BR164" s="209">
        <f>'SIMULADOR COM SALDO'!BS163</f>
        <v>2.9999999999999997E-4</v>
      </c>
    </row>
    <row r="165" spans="2:70" hidden="1" x14ac:dyDescent="0.25">
      <c r="B165">
        <v>128</v>
      </c>
      <c r="C165" s="13">
        <f t="shared" ca="1" si="80"/>
        <v>49044</v>
      </c>
      <c r="D165" s="14">
        <f t="shared" si="81"/>
        <v>0</v>
      </c>
      <c r="E165" s="14">
        <f t="shared" si="84"/>
        <v>0</v>
      </c>
      <c r="F165" s="14">
        <f t="shared" si="84"/>
        <v>0</v>
      </c>
      <c r="G165" s="14">
        <f t="shared" si="84"/>
        <v>0</v>
      </c>
      <c r="H165" s="14">
        <f t="shared" si="84"/>
        <v>0</v>
      </c>
      <c r="I165" s="14">
        <f t="shared" si="84"/>
        <v>0</v>
      </c>
      <c r="J165" s="14">
        <f t="shared" si="84"/>
        <v>0</v>
      </c>
      <c r="K165" s="14">
        <f t="shared" si="84"/>
        <v>0</v>
      </c>
      <c r="L165" s="14">
        <f t="shared" si="84"/>
        <v>0</v>
      </c>
      <c r="M165" s="224">
        <f t="shared" si="84"/>
        <v>0</v>
      </c>
      <c r="AB165" s="168">
        <v>142</v>
      </c>
      <c r="AC165" s="213">
        <f t="shared" ca="1" si="72"/>
        <v>49470</v>
      </c>
      <c r="AD165" s="214">
        <f t="shared" si="73"/>
        <v>0</v>
      </c>
      <c r="AF165" s="168">
        <v>142</v>
      </c>
      <c r="AG165" s="213">
        <f t="shared" ca="1" si="74"/>
        <v>49470</v>
      </c>
      <c r="AH165" s="208">
        <f t="shared" si="87"/>
        <v>0</v>
      </c>
      <c r="AI165" s="215">
        <f t="shared" ca="1" si="76"/>
        <v>0</v>
      </c>
      <c r="AJ165" s="168">
        <v>142</v>
      </c>
      <c r="AK165" s="213">
        <f t="shared" ca="1" si="75"/>
        <v>49470</v>
      </c>
      <c r="AL165" s="208">
        <f t="shared" si="88"/>
        <v>0</v>
      </c>
      <c r="BC165" s="186" t="str">
        <f t="shared" si="85"/>
        <v>4PREF SP</v>
      </c>
      <c r="BD165" s="186">
        <f t="shared" si="86"/>
        <v>4</v>
      </c>
      <c r="BE165" s="209" t="str">
        <f>'SIMULADOR COM SALDO'!BF164</f>
        <v>PREF SP</v>
      </c>
      <c r="BF165" s="209" t="str">
        <f>'SIMULADOR COM SALDO'!BG164</f>
        <v>795927 - Tabela 4</v>
      </c>
      <c r="BG165" s="209">
        <f>'SIMULADOR COM SALDO'!BH164</f>
        <v>1.6899999999999998E-2</v>
      </c>
      <c r="BH165" s="209">
        <f>'SIMULADOR COM SALDO'!BI164</f>
        <v>96</v>
      </c>
      <c r="BI165" s="209" t="str">
        <f>'SIMULADOR COM SALDO'!BJ164</f>
        <v/>
      </c>
      <c r="BJ165" s="209">
        <f>'SIMULADOR COM SALDO'!BK164</f>
        <v>1.95</v>
      </c>
      <c r="BK165" s="209">
        <f>'SIMULADOR COM SALDO'!BL164</f>
        <v>15</v>
      </c>
      <c r="BL165" s="209">
        <f>'SIMULADOR COM SALDO'!BM164</f>
        <v>57</v>
      </c>
      <c r="BM165" s="209" t="str">
        <f>'SIMULADOR COM SALDO'!BN164</f>
        <v>RFN - PREF SP DIG PORTAB 4</v>
      </c>
      <c r="BN165" s="209" t="str">
        <f>'SIMULADOR COM SALDO'!BO164</f>
        <v>1,19</v>
      </c>
      <c r="BO165" s="209">
        <f>'SIMULADOR COM SALDO'!BP164</f>
        <v>1.1899999999999999E-2</v>
      </c>
      <c r="BP165" s="209">
        <f>'SIMULADOR COM SALDO'!BQ164</f>
        <v>2.2096354444698933E-2</v>
      </c>
      <c r="BQ165" s="209">
        <f>'SIMULADOR COM SALDO'!BR164</f>
        <v>1.95E-2</v>
      </c>
      <c r="BR165" s="209">
        <f>'SIMULADOR COM SALDO'!BS164</f>
        <v>2.9999999999999997E-4</v>
      </c>
    </row>
    <row r="166" spans="2:70" hidden="1" x14ac:dyDescent="0.25">
      <c r="B166">
        <v>129</v>
      </c>
      <c r="C166" s="13">
        <f t="shared" ca="1" si="80"/>
        <v>49074</v>
      </c>
      <c r="D166" s="14">
        <f t="shared" si="81"/>
        <v>0</v>
      </c>
      <c r="E166" s="14">
        <f t="shared" ref="E166:M167" si="91">IF($B166&lt;=E$20,E$17/(($C$36+1)^(($C166-$C$37)/30)),0)</f>
        <v>0</v>
      </c>
      <c r="F166" s="14">
        <f t="shared" si="91"/>
        <v>0</v>
      </c>
      <c r="G166" s="14">
        <f t="shared" si="91"/>
        <v>0</v>
      </c>
      <c r="H166" s="14">
        <f t="shared" si="91"/>
        <v>0</v>
      </c>
      <c r="I166" s="14">
        <f t="shared" si="91"/>
        <v>0</v>
      </c>
      <c r="J166" s="14">
        <f t="shared" si="91"/>
        <v>0</v>
      </c>
      <c r="K166" s="14">
        <f t="shared" si="91"/>
        <v>0</v>
      </c>
      <c r="L166" s="14">
        <f t="shared" si="91"/>
        <v>0</v>
      </c>
      <c r="M166" s="224">
        <f t="shared" si="91"/>
        <v>0</v>
      </c>
      <c r="AB166" s="168">
        <v>143</v>
      </c>
      <c r="AC166" s="213">
        <f t="shared" ca="1" si="72"/>
        <v>49500</v>
      </c>
      <c r="AD166" s="214">
        <f t="shared" si="73"/>
        <v>0</v>
      </c>
      <c r="AF166" s="168">
        <v>143</v>
      </c>
      <c r="AG166" s="213">
        <f t="shared" ca="1" si="74"/>
        <v>49500</v>
      </c>
      <c r="AH166" s="208">
        <f t="shared" si="87"/>
        <v>0</v>
      </c>
      <c r="AI166" s="215">
        <f t="shared" ca="1" si="76"/>
        <v>0</v>
      </c>
      <c r="AJ166" s="168">
        <v>143</v>
      </c>
      <c r="AK166" s="213">
        <f t="shared" ca="1" si="75"/>
        <v>49500</v>
      </c>
      <c r="AL166" s="208">
        <f t="shared" si="88"/>
        <v>0</v>
      </c>
      <c r="BC166" s="186" t="str">
        <f t="shared" si="85"/>
        <v>1PREF UBERABA</v>
      </c>
      <c r="BD166" s="186">
        <f t="shared" si="86"/>
        <v>1</v>
      </c>
      <c r="BE166" s="209" t="str">
        <f>'SIMULADOR COM SALDO'!BF165</f>
        <v>PREF UBERABA</v>
      </c>
      <c r="BF166" s="209" t="str">
        <f>'SIMULADOR COM SALDO'!BG165</f>
        <v>725062 - Tabela 2</v>
      </c>
      <c r="BG166" s="209">
        <f>'SIMULADOR COM SALDO'!BH165</f>
        <v>1.9900000000000001E-2</v>
      </c>
      <c r="BH166" s="209">
        <f>'SIMULADOR COM SALDO'!BI165</f>
        <v>96</v>
      </c>
      <c r="BI166" s="209" t="str">
        <f>'SIMULADOR COM SALDO'!BJ165</f>
        <v/>
      </c>
      <c r="BJ166" s="209">
        <f>'SIMULADOR COM SALDO'!BK165</f>
        <v>2.4</v>
      </c>
      <c r="BK166" s="209">
        <f>'SIMULADOR COM SALDO'!BL165</f>
        <v>10</v>
      </c>
      <c r="BL166" s="209">
        <f>'SIMULADOR COM SALDO'!BM165</f>
        <v>87</v>
      </c>
      <c r="BM166" s="209" t="str">
        <f>'SIMULADOR COM SALDO'!BN165</f>
        <v>RFN - PREF UBERABA DIG 2 PORTAB PLUS</v>
      </c>
      <c r="BN166" s="209" t="str">
        <f>'SIMULADOR COM SALDO'!BO165</f>
        <v>1,6</v>
      </c>
      <c r="BO166" s="209">
        <f>'SIMULADOR COM SALDO'!BP165</f>
        <v>1.6E-2</v>
      </c>
      <c r="BP166" s="209">
        <f>'SIMULADOR COM SALDO'!BQ165</f>
        <v>2.5062467011710637E-2</v>
      </c>
      <c r="BQ166" s="209">
        <f>'SIMULADOR COM SALDO'!BR165</f>
        <v>2.4E-2</v>
      </c>
      <c r="BR166" s="209">
        <f>'SIMULADOR COM SALDO'!BS165</f>
        <v>2.9999999999999997E-4</v>
      </c>
    </row>
    <row r="167" spans="2:70" hidden="1" x14ac:dyDescent="0.25">
      <c r="B167">
        <v>130</v>
      </c>
      <c r="C167" s="13">
        <f t="shared" ca="1" si="80"/>
        <v>49105</v>
      </c>
      <c r="D167" s="14">
        <f t="shared" si="81"/>
        <v>0</v>
      </c>
      <c r="E167" s="14">
        <f t="shared" si="91"/>
        <v>0</v>
      </c>
      <c r="F167" s="14">
        <f t="shared" si="91"/>
        <v>0</v>
      </c>
      <c r="G167" s="14">
        <f t="shared" si="91"/>
        <v>0</v>
      </c>
      <c r="H167" s="14">
        <f t="shared" si="91"/>
        <v>0</v>
      </c>
      <c r="I167" s="14">
        <f t="shared" si="91"/>
        <v>0</v>
      </c>
      <c r="J167" s="14">
        <f t="shared" si="91"/>
        <v>0</v>
      </c>
      <c r="K167" s="14">
        <f t="shared" si="91"/>
        <v>0</v>
      </c>
      <c r="L167" s="14">
        <f t="shared" si="91"/>
        <v>0</v>
      </c>
      <c r="M167" s="224">
        <f t="shared" si="91"/>
        <v>0</v>
      </c>
      <c r="AB167" s="168">
        <v>144</v>
      </c>
      <c r="AC167" s="213">
        <f t="shared" ca="1" si="72"/>
        <v>49531</v>
      </c>
      <c r="AD167" s="214">
        <f t="shared" si="73"/>
        <v>0</v>
      </c>
      <c r="AF167" s="168">
        <v>144</v>
      </c>
      <c r="AG167" s="213">
        <f t="shared" ca="1" si="74"/>
        <v>49531</v>
      </c>
      <c r="AH167" s="208">
        <f>IF(AF167&gt;$AL$19,0,AL167-AD167)</f>
        <v>0</v>
      </c>
      <c r="AI167" s="215">
        <f t="shared" ca="1" si="76"/>
        <v>0</v>
      </c>
      <c r="AJ167" s="168">
        <v>144</v>
      </c>
      <c r="AK167" s="213">
        <f t="shared" ca="1" si="75"/>
        <v>49531</v>
      </c>
      <c r="AL167" s="208">
        <f t="shared" si="88"/>
        <v>0</v>
      </c>
      <c r="BC167" s="186" t="str">
        <f t="shared" si="85"/>
        <v>2PREF UBERABA</v>
      </c>
      <c r="BD167" s="186">
        <f t="shared" si="86"/>
        <v>2</v>
      </c>
      <c r="BE167" s="209" t="str">
        <f>'SIMULADOR COM SALDO'!BF166</f>
        <v>PREF UBERABA</v>
      </c>
      <c r="BF167" s="209" t="str">
        <f>'SIMULADOR COM SALDO'!BG166</f>
        <v>725063 - Tabela 3</v>
      </c>
      <c r="BG167" s="209">
        <f>'SIMULADOR COM SALDO'!BH166</f>
        <v>1.89E-2</v>
      </c>
      <c r="BH167" s="209">
        <f>'SIMULADOR COM SALDO'!BI166</f>
        <v>96</v>
      </c>
      <c r="BI167" s="209" t="str">
        <f>'SIMULADOR COM SALDO'!BJ166</f>
        <v/>
      </c>
      <c r="BJ167" s="209">
        <f>'SIMULADOR COM SALDO'!BK166</f>
        <v>2.4</v>
      </c>
      <c r="BK167" s="209">
        <f>'SIMULADOR COM SALDO'!BL166</f>
        <v>10</v>
      </c>
      <c r="BL167" s="209">
        <f>'SIMULADOR COM SALDO'!BM166</f>
        <v>86</v>
      </c>
      <c r="BM167" s="209" t="str">
        <f>'SIMULADOR COM SALDO'!BN166</f>
        <v>RFN - PREF UBERABA DIG 3 PORTAB PLUS</v>
      </c>
      <c r="BN167" s="209" t="str">
        <f>'SIMULADOR COM SALDO'!BO166</f>
        <v>1,6</v>
      </c>
      <c r="BO167" s="209">
        <f>'SIMULADOR COM SALDO'!BP166</f>
        <v>1.6E-2</v>
      </c>
      <c r="BP167" s="209">
        <f>'SIMULADOR COM SALDO'!BQ166</f>
        <v>2.4167783015820603E-2</v>
      </c>
      <c r="BQ167" s="209">
        <f>'SIMULADOR COM SALDO'!BR166</f>
        <v>2.4E-2</v>
      </c>
      <c r="BR167" s="209">
        <f>'SIMULADOR COM SALDO'!BS166</f>
        <v>2.9999999999999997E-4</v>
      </c>
    </row>
    <row r="168" spans="2:70" hidden="1" x14ac:dyDescent="0.25">
      <c r="B168">
        <v>131</v>
      </c>
      <c r="C168" s="13">
        <f t="shared" ca="1" si="80"/>
        <v>49135</v>
      </c>
      <c r="D168" s="14">
        <f t="shared" ref="D168:M181" si="92">IF($B168&lt;=D$20,D$17/(($C$36+1)^(($C168-$C$37)/30)),0)</f>
        <v>0</v>
      </c>
      <c r="E168" s="14">
        <f t="shared" si="92"/>
        <v>0</v>
      </c>
      <c r="F168" s="14">
        <f t="shared" si="92"/>
        <v>0</v>
      </c>
      <c r="G168" s="14">
        <f t="shared" si="92"/>
        <v>0</v>
      </c>
      <c r="H168" s="14">
        <f t="shared" si="92"/>
        <v>0</v>
      </c>
      <c r="I168" s="14">
        <f t="shared" si="92"/>
        <v>0</v>
      </c>
      <c r="J168" s="14">
        <f t="shared" si="92"/>
        <v>0</v>
      </c>
      <c r="K168" s="14">
        <f t="shared" si="92"/>
        <v>0</v>
      </c>
      <c r="L168" s="14">
        <f t="shared" si="92"/>
        <v>0</v>
      </c>
      <c r="M168" s="224">
        <f t="shared" si="92"/>
        <v>0</v>
      </c>
      <c r="AD168" s="227">
        <f ca="1">XIRR(AD23:AD167,AC23:AC167,0)</f>
        <v>0.2241393408203125</v>
      </c>
      <c r="AH168" s="163">
        <f ca="1">XIRR(AH23:AH167,AG23:AG167,0)</f>
        <v>0.25884159667968754</v>
      </c>
      <c r="AI168" s="205">
        <f ca="1">SUM(AI24:AI167)</f>
        <v>3463.3119735649288</v>
      </c>
      <c r="AL168" s="163">
        <f ca="1">XIRR(AL23:AL167,AK23:AK167,0)</f>
        <v>0.23574561035156255</v>
      </c>
      <c r="BC168" s="186" t="str">
        <f t="shared" si="85"/>
        <v xml:space="preserve">1PREF. AQUIRAZ </v>
      </c>
      <c r="BD168" s="186">
        <f t="shared" si="86"/>
        <v>1</v>
      </c>
      <c r="BE168" s="209" t="str">
        <f>'SIMULADOR COM SALDO'!BF167</f>
        <v xml:space="preserve">PREF. AQUIRAZ </v>
      </c>
      <c r="BF168" s="209" t="str">
        <f>'SIMULADOR COM SALDO'!BG167</f>
        <v>785621 - Tabela 1</v>
      </c>
      <c r="BG168" s="209">
        <f>'SIMULADOR COM SALDO'!BH167</f>
        <v>2.4900000000000002E-2</v>
      </c>
      <c r="BH168" s="209">
        <f>'SIMULADOR COM SALDO'!BI167</f>
        <v>96</v>
      </c>
      <c r="BI168" s="209" t="str">
        <f>'SIMULADOR COM SALDO'!BJ167</f>
        <v/>
      </c>
      <c r="BJ168" s="209">
        <f>'SIMULADOR COM SALDO'!BK167</f>
        <v>2.48</v>
      </c>
      <c r="BK168" s="209">
        <f>'SIMULADOR COM SALDO'!BL167</f>
        <v>10</v>
      </c>
      <c r="BL168" s="209">
        <f>'SIMULADOR COM SALDO'!BM167</f>
        <v>50</v>
      </c>
      <c r="BM168" s="209" t="str">
        <f>'SIMULADOR COM SALDO'!BN167</f>
        <v>RFN - PREF AQUIRAZ PORTAB 1 DIG</v>
      </c>
      <c r="BN168" s="209" t="str">
        <f>'SIMULADOR COM SALDO'!BO167</f>
        <v>1,73</v>
      </c>
      <c r="BO168" s="209">
        <f>'SIMULADOR COM SALDO'!BP167</f>
        <v>1.7299999999999999E-2</v>
      </c>
      <c r="BP168" s="209">
        <f>'SIMULADOR COM SALDO'!BQ167</f>
        <v>2.879066114107388E-2</v>
      </c>
      <c r="BQ168" s="209">
        <f>'SIMULADOR COM SALDO'!BR167</f>
        <v>2.4799999999999999E-2</v>
      </c>
      <c r="BR168" s="209">
        <f>'SIMULADOR COM SALDO'!BS167</f>
        <v>2.9999999999999997E-4</v>
      </c>
    </row>
    <row r="169" spans="2:70" hidden="1" x14ac:dyDescent="0.25">
      <c r="B169">
        <v>132</v>
      </c>
      <c r="C169" s="13">
        <f t="shared" ca="1" si="80"/>
        <v>49166</v>
      </c>
      <c r="D169" s="14">
        <f t="shared" si="92"/>
        <v>0</v>
      </c>
      <c r="E169" s="14">
        <f t="shared" si="92"/>
        <v>0</v>
      </c>
      <c r="F169" s="14">
        <f t="shared" si="92"/>
        <v>0</v>
      </c>
      <c r="G169" s="14">
        <f t="shared" si="92"/>
        <v>0</v>
      </c>
      <c r="H169" s="14">
        <f t="shared" si="92"/>
        <v>0</v>
      </c>
      <c r="I169" s="14">
        <f t="shared" si="92"/>
        <v>0</v>
      </c>
      <c r="J169" s="14">
        <f t="shared" si="92"/>
        <v>0</v>
      </c>
      <c r="K169" s="14">
        <f t="shared" si="92"/>
        <v>0</v>
      </c>
      <c r="L169" s="14">
        <f t="shared" si="92"/>
        <v>0</v>
      </c>
      <c r="M169" s="224">
        <f t="shared" si="92"/>
        <v>0</v>
      </c>
      <c r="AD169" s="226">
        <f ca="1">(AD168+1)^(30/365)-1</f>
        <v>1.6761221989093134E-2</v>
      </c>
      <c r="AH169" s="226">
        <f ca="1">(AH168+1)^(30/365)-1</f>
        <v>1.9099999832387304E-2</v>
      </c>
      <c r="AL169" s="226">
        <f ca="1">(AL168+1)^(30/365)-1</f>
        <v>1.7550130915888085E-2</v>
      </c>
      <c r="BC169" s="186" t="str">
        <f t="shared" ref="BC169:BC193" si="93">CONCATENATE(BD169,BE169)</f>
        <v xml:space="preserve">2PREF. AQUIRAZ </v>
      </c>
      <c r="BD169" s="186">
        <f t="shared" ref="BD169:BD193" si="94">IF(BE169=BE168,BD168+1,1)</f>
        <v>2</v>
      </c>
      <c r="BE169" s="209" t="str">
        <f>'SIMULADOR COM SALDO'!BF168</f>
        <v xml:space="preserve">PREF. AQUIRAZ </v>
      </c>
      <c r="BF169" s="209" t="str">
        <f>'SIMULADOR COM SALDO'!BG168</f>
        <v>785622 - Tabela 2</v>
      </c>
      <c r="BG169" s="209">
        <f>'SIMULADOR COM SALDO'!BH168</f>
        <v>2.3900000000000001E-2</v>
      </c>
      <c r="BH169" s="209">
        <f>'SIMULADOR COM SALDO'!BI168</f>
        <v>96</v>
      </c>
      <c r="BI169" s="209" t="str">
        <f>'SIMULADOR COM SALDO'!BJ168</f>
        <v/>
      </c>
      <c r="BJ169" s="209">
        <f>'SIMULADOR COM SALDO'!BK168</f>
        <v>2.48</v>
      </c>
      <c r="BK169" s="209">
        <f>'SIMULADOR COM SALDO'!BL168</f>
        <v>10</v>
      </c>
      <c r="BL169" s="209">
        <f>'SIMULADOR COM SALDO'!BM168</f>
        <v>50</v>
      </c>
      <c r="BM169" s="209" t="str">
        <f>'SIMULADOR COM SALDO'!BN168</f>
        <v>RFN - PREF AQUIRAZ PORTAB 2 DIG</v>
      </c>
      <c r="BN169" s="209" t="str">
        <f>'SIMULADOR COM SALDO'!BO168</f>
        <v>1,73</v>
      </c>
      <c r="BO169" s="209">
        <f>'SIMULADOR COM SALDO'!BP168</f>
        <v>1.7299999999999999E-2</v>
      </c>
      <c r="BP169" s="209">
        <f>'SIMULADOR COM SALDO'!BQ168</f>
        <v>2.7901889851741621E-2</v>
      </c>
      <c r="BQ169" s="209">
        <f>'SIMULADOR COM SALDO'!BR168</f>
        <v>2.4799999999999999E-2</v>
      </c>
      <c r="BR169" s="209">
        <f>'SIMULADOR COM SALDO'!BS168</f>
        <v>2.9999999999999997E-4</v>
      </c>
    </row>
    <row r="170" spans="2:70" hidden="1" x14ac:dyDescent="0.25">
      <c r="B170">
        <v>133</v>
      </c>
      <c r="C170" s="13">
        <f t="shared" ca="1" si="80"/>
        <v>49197</v>
      </c>
      <c r="D170" s="14">
        <f t="shared" si="92"/>
        <v>0</v>
      </c>
      <c r="E170" s="14">
        <f t="shared" si="92"/>
        <v>0</v>
      </c>
      <c r="F170" s="14">
        <f t="shared" si="92"/>
        <v>0</v>
      </c>
      <c r="G170" s="14">
        <f t="shared" si="92"/>
        <v>0</v>
      </c>
      <c r="H170" s="14">
        <f t="shared" si="92"/>
        <v>0</v>
      </c>
      <c r="I170" s="14">
        <f t="shared" si="92"/>
        <v>0</v>
      </c>
      <c r="J170" s="14">
        <f t="shared" si="92"/>
        <v>0</v>
      </c>
      <c r="K170" s="14">
        <f t="shared" si="92"/>
        <v>0</v>
      </c>
      <c r="L170" s="14">
        <f t="shared" si="92"/>
        <v>0</v>
      </c>
      <c r="M170" s="224">
        <f t="shared" si="92"/>
        <v>0</v>
      </c>
      <c r="BC170" s="186" t="str">
        <f t="shared" si="93"/>
        <v xml:space="preserve">3PREF. AQUIRAZ </v>
      </c>
      <c r="BD170" s="186">
        <f t="shared" si="94"/>
        <v>3</v>
      </c>
      <c r="BE170" s="209" t="str">
        <f>'SIMULADOR COM SALDO'!BF169</f>
        <v xml:space="preserve">PREF. AQUIRAZ </v>
      </c>
      <c r="BF170" s="209" t="str">
        <f>'SIMULADOR COM SALDO'!BG169</f>
        <v>785623 - Tabela 3</v>
      </c>
      <c r="BG170" s="209">
        <f>'SIMULADOR COM SALDO'!BH169</f>
        <v>2.29E-2</v>
      </c>
      <c r="BH170" s="209">
        <f>'SIMULADOR COM SALDO'!BI169</f>
        <v>96</v>
      </c>
      <c r="BI170" s="209" t="str">
        <f>'SIMULADOR COM SALDO'!BJ169</f>
        <v/>
      </c>
      <c r="BJ170" s="209">
        <f>'SIMULADOR COM SALDO'!BK169</f>
        <v>2.48</v>
      </c>
      <c r="BK170" s="209">
        <f>'SIMULADOR COM SALDO'!BL169</f>
        <v>10</v>
      </c>
      <c r="BL170" s="209">
        <f>'SIMULADOR COM SALDO'!BM169</f>
        <v>50</v>
      </c>
      <c r="BM170" s="209" t="str">
        <f>'SIMULADOR COM SALDO'!BN169</f>
        <v>RFN - PREF AQUIRAZ PORTAB 3 DIG</v>
      </c>
      <c r="BN170" s="209" t="str">
        <f>'SIMULADOR COM SALDO'!BO169</f>
        <v>1,73</v>
      </c>
      <c r="BO170" s="209">
        <f>'SIMULADOR COM SALDO'!BP169</f>
        <v>1.7299999999999999E-2</v>
      </c>
      <c r="BP170" s="209">
        <f>'SIMULADOR COM SALDO'!BQ169</f>
        <v>2.7024130488156124E-2</v>
      </c>
      <c r="BQ170" s="209">
        <f>'SIMULADOR COM SALDO'!BR169</f>
        <v>2.4799999999999999E-2</v>
      </c>
      <c r="BR170" s="209">
        <f>'SIMULADOR COM SALDO'!BS169</f>
        <v>2.9999999999999997E-4</v>
      </c>
    </row>
    <row r="171" spans="2:70" hidden="1" x14ac:dyDescent="0.25">
      <c r="B171">
        <v>134</v>
      </c>
      <c r="C171" s="13">
        <f t="shared" ca="1" si="80"/>
        <v>49227</v>
      </c>
      <c r="D171" s="14">
        <f t="shared" si="92"/>
        <v>0</v>
      </c>
      <c r="E171" s="14">
        <f t="shared" si="92"/>
        <v>0</v>
      </c>
      <c r="F171" s="14">
        <f t="shared" si="92"/>
        <v>0</v>
      </c>
      <c r="G171" s="14">
        <f t="shared" si="92"/>
        <v>0</v>
      </c>
      <c r="H171" s="14">
        <f t="shared" si="92"/>
        <v>0</v>
      </c>
      <c r="I171" s="14">
        <f t="shared" si="92"/>
        <v>0</v>
      </c>
      <c r="J171" s="14">
        <f t="shared" si="92"/>
        <v>0</v>
      </c>
      <c r="K171" s="14">
        <f t="shared" si="92"/>
        <v>0</v>
      </c>
      <c r="L171" s="14">
        <f t="shared" si="92"/>
        <v>0</v>
      </c>
      <c r="M171" s="224">
        <f t="shared" si="92"/>
        <v>0</v>
      </c>
      <c r="BC171" s="186" t="str">
        <f t="shared" si="93"/>
        <v xml:space="preserve">4PREF. AQUIRAZ </v>
      </c>
      <c r="BD171" s="186">
        <f t="shared" si="94"/>
        <v>4</v>
      </c>
      <c r="BE171" s="209" t="str">
        <f>'SIMULADOR COM SALDO'!BF170</f>
        <v xml:space="preserve">PREF. AQUIRAZ </v>
      </c>
      <c r="BF171" s="209" t="str">
        <f>'SIMULADOR COM SALDO'!BG170</f>
        <v>785634 - Tabela 4</v>
      </c>
      <c r="BG171" s="209">
        <f>'SIMULADOR COM SALDO'!BH170</f>
        <v>2.1899999999999999E-2</v>
      </c>
      <c r="BH171" s="209">
        <f>'SIMULADOR COM SALDO'!BI170</f>
        <v>96</v>
      </c>
      <c r="BI171" s="209" t="str">
        <f>'SIMULADOR COM SALDO'!BJ170</f>
        <v/>
      </c>
      <c r="BJ171" s="209">
        <f>'SIMULADOR COM SALDO'!BK170</f>
        <v>2.48</v>
      </c>
      <c r="BK171" s="209">
        <f>'SIMULADOR COM SALDO'!BL170</f>
        <v>10</v>
      </c>
      <c r="BL171" s="209">
        <f>'SIMULADOR COM SALDO'!BM170</f>
        <v>50</v>
      </c>
      <c r="BM171" s="209" t="str">
        <f>'SIMULADOR COM SALDO'!BN170</f>
        <v xml:space="preserve">RFN - PREF AQUIRAZ PORTAB 4 DIG </v>
      </c>
      <c r="BN171" s="209" t="str">
        <f>'SIMULADOR COM SALDO'!BO170</f>
        <v>1,73</v>
      </c>
      <c r="BO171" s="209">
        <f>'SIMULADOR COM SALDO'!BP170</f>
        <v>1.7299999999999999E-2</v>
      </c>
      <c r="BP171" s="209">
        <f>'SIMULADOR COM SALDO'!BQ170</f>
        <v>2.6157763575381677E-2</v>
      </c>
      <c r="BQ171" s="209">
        <f>'SIMULADOR COM SALDO'!BR170</f>
        <v>2.4799999999999999E-2</v>
      </c>
      <c r="BR171" s="209">
        <f>'SIMULADOR COM SALDO'!BS170</f>
        <v>2.9999999999999997E-4</v>
      </c>
    </row>
    <row r="172" spans="2:70" hidden="1" x14ac:dyDescent="0.25">
      <c r="B172">
        <v>135</v>
      </c>
      <c r="C172" s="13">
        <f t="shared" ca="1" si="80"/>
        <v>49258</v>
      </c>
      <c r="D172" s="14">
        <f t="shared" si="92"/>
        <v>0</v>
      </c>
      <c r="E172" s="14">
        <f t="shared" si="92"/>
        <v>0</v>
      </c>
      <c r="F172" s="14">
        <f t="shared" si="92"/>
        <v>0</v>
      </c>
      <c r="G172" s="14">
        <f t="shared" si="92"/>
        <v>0</v>
      </c>
      <c r="H172" s="14">
        <f t="shared" si="92"/>
        <v>0</v>
      </c>
      <c r="I172" s="14">
        <f t="shared" si="92"/>
        <v>0</v>
      </c>
      <c r="J172" s="14">
        <f t="shared" si="92"/>
        <v>0</v>
      </c>
      <c r="K172" s="14">
        <f t="shared" si="92"/>
        <v>0</v>
      </c>
      <c r="L172" s="14">
        <f t="shared" si="92"/>
        <v>0</v>
      </c>
      <c r="M172" s="224">
        <f t="shared" si="92"/>
        <v>0</v>
      </c>
      <c r="BC172" s="186" t="str">
        <f t="shared" si="93"/>
        <v xml:space="preserve">5PREF. AQUIRAZ </v>
      </c>
      <c r="BD172" s="186">
        <f t="shared" si="94"/>
        <v>5</v>
      </c>
      <c r="BE172" s="209" t="str">
        <f>'SIMULADOR COM SALDO'!BF171</f>
        <v xml:space="preserve">PREF. AQUIRAZ </v>
      </c>
      <c r="BF172" s="209" t="str">
        <f>'SIMULADOR COM SALDO'!BG171</f>
        <v>785635 - Tabela 5</v>
      </c>
      <c r="BG172" s="209">
        <f>'SIMULADOR COM SALDO'!BH171</f>
        <v>2.0899999999999998E-2</v>
      </c>
      <c r="BH172" s="209">
        <f>'SIMULADOR COM SALDO'!BI171</f>
        <v>96</v>
      </c>
      <c r="BI172" s="209" t="str">
        <f>'SIMULADOR COM SALDO'!BJ171</f>
        <v/>
      </c>
      <c r="BJ172" s="209">
        <f>'SIMULADOR COM SALDO'!BK171</f>
        <v>2.48</v>
      </c>
      <c r="BK172" s="209">
        <f>'SIMULADOR COM SALDO'!BL171</f>
        <v>10</v>
      </c>
      <c r="BL172" s="209">
        <f>'SIMULADOR COM SALDO'!BM171</f>
        <v>50</v>
      </c>
      <c r="BM172" s="209" t="str">
        <f>'SIMULADOR COM SALDO'!BN171</f>
        <v xml:space="preserve">RFN - PREF AQUIRAZ PORTAB 5 DIG </v>
      </c>
      <c r="BN172" s="209" t="str">
        <f>'SIMULADOR COM SALDO'!BO171</f>
        <v>1,73</v>
      </c>
      <c r="BO172" s="209">
        <f>'SIMULADOR COM SALDO'!BP171</f>
        <v>1.7299999999999999E-2</v>
      </c>
      <c r="BP172" s="209">
        <f>'SIMULADOR COM SALDO'!BQ171</f>
        <v>2.5303170536751955E-2</v>
      </c>
      <c r="BQ172" s="209">
        <f>'SIMULADOR COM SALDO'!BR171</f>
        <v>2.4799999999999999E-2</v>
      </c>
      <c r="BR172" s="209">
        <f>'SIMULADOR COM SALDO'!BS171</f>
        <v>2.9999999999999997E-4</v>
      </c>
    </row>
    <row r="173" spans="2:70" hidden="1" x14ac:dyDescent="0.25">
      <c r="B173">
        <v>136</v>
      </c>
      <c r="C173" s="13">
        <f t="shared" ca="1" si="80"/>
        <v>49288</v>
      </c>
      <c r="D173" s="14">
        <f t="shared" si="92"/>
        <v>0</v>
      </c>
      <c r="E173" s="14">
        <f t="shared" si="92"/>
        <v>0</v>
      </c>
      <c r="F173" s="14">
        <f t="shared" si="92"/>
        <v>0</v>
      </c>
      <c r="G173" s="14">
        <f t="shared" si="92"/>
        <v>0</v>
      </c>
      <c r="H173" s="14">
        <f t="shared" si="92"/>
        <v>0</v>
      </c>
      <c r="I173" s="14">
        <f t="shared" si="92"/>
        <v>0</v>
      </c>
      <c r="J173" s="14">
        <f t="shared" si="92"/>
        <v>0</v>
      </c>
      <c r="K173" s="14">
        <f t="shared" si="92"/>
        <v>0</v>
      </c>
      <c r="L173" s="14">
        <f t="shared" si="92"/>
        <v>0</v>
      </c>
      <c r="M173" s="224">
        <f t="shared" si="92"/>
        <v>0</v>
      </c>
      <c r="BC173" s="186" t="str">
        <f t="shared" si="93"/>
        <v xml:space="preserve">6PREF. AQUIRAZ </v>
      </c>
      <c r="BD173" s="186">
        <f t="shared" si="94"/>
        <v>6</v>
      </c>
      <c r="BE173" s="209" t="str">
        <f>'SIMULADOR COM SALDO'!BF172</f>
        <v xml:space="preserve">PREF. AQUIRAZ </v>
      </c>
      <c r="BF173" s="209" t="str">
        <f>'SIMULADOR COM SALDO'!BG172</f>
        <v>785636 - Tabela 6</v>
      </c>
      <c r="BG173" s="209">
        <f>'SIMULADOR COM SALDO'!BH172</f>
        <v>1.9900000000000001E-2</v>
      </c>
      <c r="BH173" s="209">
        <f>'SIMULADOR COM SALDO'!BI172</f>
        <v>96</v>
      </c>
      <c r="BI173" s="209" t="str">
        <f>'SIMULADOR COM SALDO'!BJ172</f>
        <v/>
      </c>
      <c r="BJ173" s="209">
        <f>'SIMULADOR COM SALDO'!BK172</f>
        <v>2.48</v>
      </c>
      <c r="BK173" s="209">
        <f>'SIMULADOR COM SALDO'!BL172</f>
        <v>10</v>
      </c>
      <c r="BL173" s="209">
        <f>'SIMULADOR COM SALDO'!BM172</f>
        <v>50</v>
      </c>
      <c r="BM173" s="209" t="str">
        <f>'SIMULADOR COM SALDO'!BN172</f>
        <v xml:space="preserve">RFN - PREF AQUIRAZ PORTAB 6 DIG </v>
      </c>
      <c r="BN173" s="209" t="str">
        <f>'SIMULADOR COM SALDO'!BO172</f>
        <v>1,73</v>
      </c>
      <c r="BO173" s="209">
        <f>'SIMULADOR COM SALDO'!BP172</f>
        <v>1.7299999999999999E-2</v>
      </c>
      <c r="BP173" s="209">
        <f>'SIMULADOR COM SALDO'!BQ172</f>
        <v>2.4460732323653724E-2</v>
      </c>
      <c r="BQ173" s="209">
        <f>'SIMULADOR COM SALDO'!BR172</f>
        <v>2.4799999999999999E-2</v>
      </c>
      <c r="BR173" s="209">
        <f>'SIMULADOR COM SALDO'!BS172</f>
        <v>2.9999999999999997E-4</v>
      </c>
    </row>
    <row r="174" spans="2:70" hidden="1" x14ac:dyDescent="0.25">
      <c r="B174">
        <v>137</v>
      </c>
      <c r="C174" s="13">
        <f t="shared" ca="1" si="80"/>
        <v>49319</v>
      </c>
      <c r="D174" s="14">
        <f t="shared" si="92"/>
        <v>0</v>
      </c>
      <c r="E174" s="14">
        <f t="shared" si="92"/>
        <v>0</v>
      </c>
      <c r="F174" s="14">
        <f t="shared" si="92"/>
        <v>0</v>
      </c>
      <c r="G174" s="14">
        <f t="shared" si="92"/>
        <v>0</v>
      </c>
      <c r="H174" s="14">
        <f t="shared" si="92"/>
        <v>0</v>
      </c>
      <c r="I174" s="14">
        <f t="shared" si="92"/>
        <v>0</v>
      </c>
      <c r="J174" s="14">
        <f t="shared" si="92"/>
        <v>0</v>
      </c>
      <c r="K174" s="14">
        <f t="shared" si="92"/>
        <v>0</v>
      </c>
      <c r="L174" s="14">
        <f t="shared" si="92"/>
        <v>0</v>
      </c>
      <c r="M174" s="224">
        <f t="shared" si="92"/>
        <v>0</v>
      </c>
      <c r="BC174" s="186" t="str">
        <f t="shared" si="93"/>
        <v>1PREF. ARACRUZ</v>
      </c>
      <c r="BD174" s="186">
        <f t="shared" si="94"/>
        <v>1</v>
      </c>
      <c r="BE174" s="209" t="str">
        <f>'SIMULADOR COM SALDO'!BF173</f>
        <v>PREF. ARACRUZ</v>
      </c>
      <c r="BF174" s="209" t="str">
        <f>'SIMULADOR COM SALDO'!BG173</f>
        <v>350013 - Tabela 1</v>
      </c>
      <c r="BG174" s="209">
        <f>'SIMULADOR COM SALDO'!BH173</f>
        <v>2.23E-2</v>
      </c>
      <c r="BH174" s="209">
        <f>'SIMULADOR COM SALDO'!BI173</f>
        <v>120</v>
      </c>
      <c r="BI174" s="209" t="str">
        <f>'SIMULADOR COM SALDO'!BJ173</f>
        <v/>
      </c>
      <c r="BJ174" s="209">
        <f>'SIMULADOR COM SALDO'!BK173</f>
        <v>0</v>
      </c>
      <c r="BK174" s="209">
        <f>'SIMULADOR COM SALDO'!BL173</f>
        <v>25</v>
      </c>
      <c r="BL174" s="209">
        <f>'SIMULADOR COM SALDO'!BM173</f>
        <v>67</v>
      </c>
      <c r="BM174" s="209" t="str">
        <f>'SIMULADOR COM SALDO'!BN173</f>
        <v>RFN - PREF. ARACRUZ DIG 1 PORTAB</v>
      </c>
      <c r="BN174" s="209">
        <f>'SIMULADOR COM SALDO'!BO173</f>
        <v>0</v>
      </c>
      <c r="BO174" s="209">
        <f>'SIMULADOR COM SALDO'!BP173</f>
        <v>0</v>
      </c>
      <c r="BP174" s="209">
        <f>'SIMULADOR COM SALDO'!BQ173</f>
        <v>2.5407435609827833E-2</v>
      </c>
      <c r="BQ174" s="209">
        <f>'SIMULADOR COM SALDO'!BR173</f>
        <v>0</v>
      </c>
      <c r="BR174" s="209">
        <f>'SIMULADOR COM SALDO'!BS173</f>
        <v>2.9999999999999997E-4</v>
      </c>
    </row>
    <row r="175" spans="2:70" hidden="1" x14ac:dyDescent="0.25">
      <c r="B175">
        <v>138</v>
      </c>
      <c r="C175" s="13">
        <f t="shared" ca="1" si="80"/>
        <v>49350</v>
      </c>
      <c r="D175" s="14">
        <f t="shared" si="92"/>
        <v>0</v>
      </c>
      <c r="E175" s="14">
        <f t="shared" si="92"/>
        <v>0</v>
      </c>
      <c r="F175" s="14">
        <f t="shared" si="92"/>
        <v>0</v>
      </c>
      <c r="G175" s="14">
        <f t="shared" si="92"/>
        <v>0</v>
      </c>
      <c r="H175" s="14">
        <f t="shared" si="92"/>
        <v>0</v>
      </c>
      <c r="I175" s="14">
        <f t="shared" si="92"/>
        <v>0</v>
      </c>
      <c r="J175" s="14">
        <f t="shared" si="92"/>
        <v>0</v>
      </c>
      <c r="K175" s="14">
        <f t="shared" si="92"/>
        <v>0</v>
      </c>
      <c r="L175" s="14">
        <f t="shared" si="92"/>
        <v>0</v>
      </c>
      <c r="M175" s="224">
        <f t="shared" si="92"/>
        <v>0</v>
      </c>
      <c r="BC175" s="186" t="str">
        <f t="shared" si="93"/>
        <v>1PREF. BH</v>
      </c>
      <c r="BD175" s="186">
        <f t="shared" si="94"/>
        <v>1</v>
      </c>
      <c r="BE175" s="209" t="str">
        <f>'SIMULADOR COM SALDO'!BF174</f>
        <v>PREF. BH</v>
      </c>
      <c r="BF175" s="209" t="str">
        <f>'SIMULADOR COM SALDO'!BG174</f>
        <v>795061 - Tabela 1</v>
      </c>
      <c r="BG175" s="209">
        <f>'SIMULADOR COM SALDO'!BH174</f>
        <v>2.1499999999999998E-2</v>
      </c>
      <c r="BH175" s="209">
        <f>'SIMULADOR COM SALDO'!BI174</f>
        <v>120</v>
      </c>
      <c r="BI175" s="209" t="str">
        <f>'SIMULADOR COM SALDO'!BJ174</f>
        <v/>
      </c>
      <c r="BJ175" s="209">
        <f>'SIMULADOR COM SALDO'!BK174</f>
        <v>2.4</v>
      </c>
      <c r="BK175" s="209">
        <f>'SIMULADOR COM SALDO'!BL174</f>
        <v>25</v>
      </c>
      <c r="BL175" s="209">
        <f>'SIMULADOR COM SALDO'!BM174</f>
        <v>67</v>
      </c>
      <c r="BM175" s="209" t="str">
        <f>'SIMULADOR COM SALDO'!BN174</f>
        <v>RFN - PREF. BH DIG 1 PORTAB</v>
      </c>
      <c r="BN175" s="209" t="str">
        <f>'SIMULADOR COM SALDO'!BO174</f>
        <v>1,75</v>
      </c>
      <c r="BO175" s="209">
        <f>'SIMULADOR COM SALDO'!BP174</f>
        <v>1.7500000000000002E-2</v>
      </c>
      <c r="BP175" s="209">
        <f>'SIMULADOR COM SALDO'!BQ174</f>
        <v>2.4657630212672439E-2</v>
      </c>
      <c r="BQ175" s="209">
        <f>'SIMULADOR COM SALDO'!BR174</f>
        <v>2.4E-2</v>
      </c>
      <c r="BR175" s="209">
        <f>'SIMULADOR COM SALDO'!BS174</f>
        <v>2.9999999999999997E-4</v>
      </c>
    </row>
    <row r="176" spans="2:70" hidden="1" x14ac:dyDescent="0.25">
      <c r="B176">
        <v>139</v>
      </c>
      <c r="C176" s="13">
        <f t="shared" ca="1" si="80"/>
        <v>49378</v>
      </c>
      <c r="D176" s="14">
        <f t="shared" si="92"/>
        <v>0</v>
      </c>
      <c r="E176" s="14">
        <f t="shared" si="92"/>
        <v>0</v>
      </c>
      <c r="F176" s="14">
        <f t="shared" si="92"/>
        <v>0</v>
      </c>
      <c r="G176" s="14">
        <f t="shared" si="92"/>
        <v>0</v>
      </c>
      <c r="H176" s="14">
        <f t="shared" si="92"/>
        <v>0</v>
      </c>
      <c r="I176" s="14">
        <f t="shared" si="92"/>
        <v>0</v>
      </c>
      <c r="J176" s="14">
        <f t="shared" si="92"/>
        <v>0</v>
      </c>
      <c r="K176" s="14">
        <f t="shared" si="92"/>
        <v>0</v>
      </c>
      <c r="L176" s="14">
        <f t="shared" si="92"/>
        <v>0</v>
      </c>
      <c r="M176" s="224">
        <f t="shared" si="92"/>
        <v>0</v>
      </c>
      <c r="BC176" s="186" t="str">
        <f t="shared" si="93"/>
        <v>2PREF. BH</v>
      </c>
      <c r="BD176" s="186">
        <f t="shared" si="94"/>
        <v>2</v>
      </c>
      <c r="BE176" s="209" t="str">
        <f>'SIMULADOR COM SALDO'!BF175</f>
        <v>PREF. BH</v>
      </c>
      <c r="BF176" s="209" t="str">
        <f>'SIMULADOR COM SALDO'!BG175</f>
        <v>795067 - Tabela 2</v>
      </c>
      <c r="BG176" s="209">
        <f>'SIMULADOR COM SALDO'!BH175</f>
        <v>0.02</v>
      </c>
      <c r="BH176" s="209">
        <f>'SIMULADOR COM SALDO'!BI175</f>
        <v>120</v>
      </c>
      <c r="BI176" s="209" t="str">
        <f>'SIMULADOR COM SALDO'!BJ175</f>
        <v/>
      </c>
      <c r="BJ176" s="209">
        <f>'SIMULADOR COM SALDO'!BK175</f>
        <v>2.4</v>
      </c>
      <c r="BK176" s="209">
        <f>'SIMULADOR COM SALDO'!BL175</f>
        <v>25</v>
      </c>
      <c r="BL176" s="209">
        <f>'SIMULADOR COM SALDO'!BM175</f>
        <v>64</v>
      </c>
      <c r="BM176" s="209" t="str">
        <f>'SIMULADOR COM SALDO'!BN175</f>
        <v>RFN - PREF. BH DIG 2 PORTAB</v>
      </c>
      <c r="BN176" s="209" t="str">
        <f>'SIMULADOR COM SALDO'!BO175</f>
        <v>1,75</v>
      </c>
      <c r="BO176" s="209">
        <f>'SIMULADOR COM SALDO'!BP175</f>
        <v>1.7500000000000002E-2</v>
      </c>
      <c r="BP176" s="209">
        <f>'SIMULADOR COM SALDO'!BQ175</f>
        <v>2.3228805012675054E-2</v>
      </c>
      <c r="BQ176" s="209">
        <f>'SIMULADOR COM SALDO'!BR175</f>
        <v>2.4E-2</v>
      </c>
      <c r="BR176" s="209">
        <f>'SIMULADOR COM SALDO'!BS175</f>
        <v>2.9999999999999997E-4</v>
      </c>
    </row>
    <row r="177" spans="2:70" hidden="1" x14ac:dyDescent="0.25">
      <c r="B177">
        <v>140</v>
      </c>
      <c r="C177" s="13">
        <f t="shared" ca="1" si="80"/>
        <v>49409</v>
      </c>
      <c r="D177" s="14">
        <f t="shared" si="92"/>
        <v>0</v>
      </c>
      <c r="E177" s="14">
        <f t="shared" si="92"/>
        <v>0</v>
      </c>
      <c r="F177" s="14">
        <f t="shared" si="92"/>
        <v>0</v>
      </c>
      <c r="G177" s="14">
        <f t="shared" si="92"/>
        <v>0</v>
      </c>
      <c r="H177" s="14">
        <f t="shared" si="92"/>
        <v>0</v>
      </c>
      <c r="I177" s="14">
        <f t="shared" si="92"/>
        <v>0</v>
      </c>
      <c r="J177" s="14">
        <f t="shared" si="92"/>
        <v>0</v>
      </c>
      <c r="K177" s="14">
        <f t="shared" si="92"/>
        <v>0</v>
      </c>
      <c r="L177" s="14">
        <f t="shared" si="92"/>
        <v>0</v>
      </c>
      <c r="M177" s="224">
        <f t="shared" si="92"/>
        <v>0</v>
      </c>
      <c r="BC177" s="186" t="str">
        <f t="shared" si="93"/>
        <v>1PREF. M. SOBRAL</v>
      </c>
      <c r="BD177" s="186">
        <f t="shared" si="94"/>
        <v>1</v>
      </c>
      <c r="BE177" s="209" t="str">
        <f>'SIMULADOR COM SALDO'!BF176</f>
        <v>PREF. M. SOBRAL</v>
      </c>
      <c r="BF177" s="209" t="str">
        <f>'SIMULADOR COM SALDO'!BG176</f>
        <v>795076 - Tabela 6</v>
      </c>
      <c r="BG177" s="209">
        <f>'SIMULADOR COM SALDO'!BH176</f>
        <v>1.8100000000000002E-2</v>
      </c>
      <c r="BH177" s="209">
        <f>'SIMULADOR COM SALDO'!BI176</f>
        <v>120</v>
      </c>
      <c r="BI177" s="209" t="str">
        <f>'SIMULADOR COM SALDO'!BJ176</f>
        <v/>
      </c>
      <c r="BJ177" s="209">
        <f>'SIMULADOR COM SALDO'!BK176</f>
        <v>2.31</v>
      </c>
      <c r="BK177" s="209">
        <f>'SIMULADOR COM SALDO'!BL176</f>
        <v>20</v>
      </c>
      <c r="BL177" s="209">
        <f>'SIMULADOR COM SALDO'!BM176</f>
        <v>54</v>
      </c>
      <c r="BM177" s="209" t="str">
        <f>'SIMULADOR COM SALDO'!BN176</f>
        <v>RFN - PREF SOBRAL 6 DIG PORTAB</v>
      </c>
      <c r="BN177" s="209" t="str">
        <f>'SIMULADOR COM SALDO'!BO176</f>
        <v>1,56</v>
      </c>
      <c r="BO177" s="209">
        <f>'SIMULADOR COM SALDO'!BP176</f>
        <v>1.5600000000000001E-2</v>
      </c>
      <c r="BP177" s="209">
        <f>'SIMULADOR COM SALDO'!BQ176</f>
        <v>2.1402185268610867E-2</v>
      </c>
      <c r="BQ177" s="209">
        <f>'SIMULADOR COM SALDO'!BR176</f>
        <v>2.3099999999999999E-2</v>
      </c>
      <c r="BR177" s="209">
        <f>'SIMULADOR COM SALDO'!BS176</f>
        <v>2.9999999999999997E-4</v>
      </c>
    </row>
    <row r="178" spans="2:70" hidden="1" x14ac:dyDescent="0.25">
      <c r="B178">
        <v>141</v>
      </c>
      <c r="C178" s="13">
        <f t="shared" ca="1" si="80"/>
        <v>49439</v>
      </c>
      <c r="D178" s="14">
        <f t="shared" si="92"/>
        <v>0</v>
      </c>
      <c r="E178" s="14">
        <f t="shared" si="92"/>
        <v>0</v>
      </c>
      <c r="F178" s="14">
        <f t="shared" si="92"/>
        <v>0</v>
      </c>
      <c r="G178" s="14">
        <f t="shared" si="92"/>
        <v>0</v>
      </c>
      <c r="H178" s="14">
        <f t="shared" si="92"/>
        <v>0</v>
      </c>
      <c r="I178" s="14">
        <f t="shared" si="92"/>
        <v>0</v>
      </c>
      <c r="J178" s="14">
        <f t="shared" si="92"/>
        <v>0</v>
      </c>
      <c r="K178" s="14">
        <f t="shared" si="92"/>
        <v>0</v>
      </c>
      <c r="L178" s="14">
        <f t="shared" si="92"/>
        <v>0</v>
      </c>
      <c r="M178" s="224">
        <f t="shared" si="92"/>
        <v>0</v>
      </c>
      <c r="BC178" s="186" t="str">
        <f t="shared" si="93"/>
        <v>1SEPLAG</v>
      </c>
      <c r="BD178" s="186">
        <f t="shared" si="94"/>
        <v>1</v>
      </c>
      <c r="BE178" s="209" t="str">
        <f>'SIMULADOR COM SALDO'!BF177</f>
        <v>SEPLAG</v>
      </c>
      <c r="BF178" s="209" t="str">
        <f>'SIMULADOR COM SALDO'!BG177</f>
        <v>765601 - Tabela 1</v>
      </c>
      <c r="BG178" s="209">
        <f>'SIMULADOR COM SALDO'!BH177</f>
        <v>2.1499999999999998E-2</v>
      </c>
      <c r="BH178" s="209">
        <f>'SIMULADOR COM SALDO'!BI177</f>
        <v>120</v>
      </c>
      <c r="BI178" s="209" t="str">
        <f>'SIMULADOR COM SALDO'!BJ177</f>
        <v/>
      </c>
      <c r="BJ178" s="209">
        <f>'SIMULADOR COM SALDO'!BK177</f>
        <v>2.4</v>
      </c>
      <c r="BK178" s="209">
        <f>'SIMULADOR COM SALDO'!BL177</f>
        <v>7</v>
      </c>
      <c r="BL178" s="209">
        <f>'SIMULADOR COM SALDO'!BM177</f>
        <v>44</v>
      </c>
      <c r="BM178" s="209" t="str">
        <f>'SIMULADOR COM SALDO'!BN177</f>
        <v>RFN - SEPLAG 1 DIG PORTABILIDADE</v>
      </c>
      <c r="BN178" s="209" t="str">
        <f>'SIMULADOR COM SALDO'!BO177</f>
        <v>1,34</v>
      </c>
      <c r="BO178" s="209">
        <f>'SIMULADOR COM SALDO'!BP177</f>
        <v>1.34E-2</v>
      </c>
      <c r="BP178" s="209">
        <f>'SIMULADOR COM SALDO'!BQ177</f>
        <v>2.4258759232831675E-2</v>
      </c>
      <c r="BQ178" s="209">
        <f>'SIMULADOR COM SALDO'!BR177</f>
        <v>2.4E-2</v>
      </c>
      <c r="BR178" s="209">
        <f>'SIMULADOR COM SALDO'!BS177</f>
        <v>2.9999999999999997E-4</v>
      </c>
    </row>
    <row r="179" spans="2:70" hidden="1" x14ac:dyDescent="0.25">
      <c r="B179">
        <v>142</v>
      </c>
      <c r="C179" s="13">
        <f t="shared" ca="1" si="80"/>
        <v>49470</v>
      </c>
      <c r="D179" s="14">
        <f t="shared" si="92"/>
        <v>0</v>
      </c>
      <c r="E179" s="14">
        <f t="shared" si="92"/>
        <v>0</v>
      </c>
      <c r="F179" s="14">
        <f t="shared" si="92"/>
        <v>0</v>
      </c>
      <c r="G179" s="14">
        <f t="shared" si="92"/>
        <v>0</v>
      </c>
      <c r="H179" s="14">
        <f t="shared" si="92"/>
        <v>0</v>
      </c>
      <c r="I179" s="14">
        <f t="shared" si="92"/>
        <v>0</v>
      </c>
      <c r="J179" s="14">
        <f t="shared" si="92"/>
        <v>0</v>
      </c>
      <c r="K179" s="14">
        <f t="shared" si="92"/>
        <v>0</v>
      </c>
      <c r="L179" s="14">
        <f t="shared" si="92"/>
        <v>0</v>
      </c>
      <c r="M179" s="224">
        <f t="shared" si="92"/>
        <v>0</v>
      </c>
      <c r="BC179" s="186" t="str">
        <f t="shared" si="93"/>
        <v>2SEPLAG</v>
      </c>
      <c r="BD179" s="186">
        <f t="shared" si="94"/>
        <v>2</v>
      </c>
      <c r="BE179" s="209" t="str">
        <f>'SIMULADOR COM SALDO'!BF178</f>
        <v>SEPLAG</v>
      </c>
      <c r="BF179" s="209" t="str">
        <f>'SIMULADOR COM SALDO'!BG178</f>
        <v>765602 - Tabela 2</v>
      </c>
      <c r="BG179" s="209">
        <f>'SIMULADOR COM SALDO'!BH178</f>
        <v>2.0499999999999997E-2</v>
      </c>
      <c r="BH179" s="209">
        <f>'SIMULADOR COM SALDO'!BI178</f>
        <v>120</v>
      </c>
      <c r="BI179" s="209" t="str">
        <f>'SIMULADOR COM SALDO'!BJ178</f>
        <v/>
      </c>
      <c r="BJ179" s="209">
        <f>'SIMULADOR COM SALDO'!BK178</f>
        <v>2.4</v>
      </c>
      <c r="BK179" s="209">
        <f>'SIMULADOR COM SALDO'!BL178</f>
        <v>7</v>
      </c>
      <c r="BL179" s="209">
        <f>'SIMULADOR COM SALDO'!BM178</f>
        <v>44</v>
      </c>
      <c r="BM179" s="209" t="str">
        <f>'SIMULADOR COM SALDO'!BN178</f>
        <v>RFN - SEPLAG 2 DIG PORTABILIDADE</v>
      </c>
      <c r="BN179" s="209" t="str">
        <f>'SIMULADOR COM SALDO'!BO178</f>
        <v>1,34</v>
      </c>
      <c r="BO179" s="209">
        <f>'SIMULADOR COM SALDO'!BP178</f>
        <v>1.34E-2</v>
      </c>
      <c r="BP179" s="209">
        <f>'SIMULADOR COM SALDO'!BQ178</f>
        <v>2.3365977912608027E-2</v>
      </c>
      <c r="BQ179" s="209">
        <f>'SIMULADOR COM SALDO'!BR178</f>
        <v>2.4E-2</v>
      </c>
      <c r="BR179" s="209">
        <f>'SIMULADOR COM SALDO'!BS178</f>
        <v>2.9999999999999997E-4</v>
      </c>
    </row>
    <row r="180" spans="2:70" hidden="1" x14ac:dyDescent="0.25">
      <c r="B180">
        <v>143</v>
      </c>
      <c r="C180" s="13">
        <f t="shared" ca="1" si="80"/>
        <v>49500</v>
      </c>
      <c r="D180" s="14">
        <f t="shared" si="92"/>
        <v>0</v>
      </c>
      <c r="E180" s="14">
        <f t="shared" si="92"/>
        <v>0</v>
      </c>
      <c r="F180" s="14">
        <f t="shared" si="92"/>
        <v>0</v>
      </c>
      <c r="G180" s="14">
        <f t="shared" si="92"/>
        <v>0</v>
      </c>
      <c r="H180" s="14">
        <f t="shared" si="92"/>
        <v>0</v>
      </c>
      <c r="I180" s="14">
        <f t="shared" si="92"/>
        <v>0</v>
      </c>
      <c r="J180" s="14">
        <f t="shared" si="92"/>
        <v>0</v>
      </c>
      <c r="K180" s="14">
        <f t="shared" si="92"/>
        <v>0</v>
      </c>
      <c r="L180" s="14">
        <f t="shared" si="92"/>
        <v>0</v>
      </c>
      <c r="M180" s="224">
        <f t="shared" si="92"/>
        <v>0</v>
      </c>
      <c r="BC180" s="186" t="str">
        <f t="shared" si="93"/>
        <v>3SEPLAG</v>
      </c>
      <c r="BD180" s="186">
        <f t="shared" si="94"/>
        <v>3</v>
      </c>
      <c r="BE180" s="209" t="str">
        <f>'SIMULADOR COM SALDO'!BF179</f>
        <v>SEPLAG</v>
      </c>
      <c r="BF180" s="209" t="str">
        <f>'SIMULADOR COM SALDO'!BG179</f>
        <v>765603 - Tabela 3</v>
      </c>
      <c r="BG180" s="209">
        <f>'SIMULADOR COM SALDO'!BH179</f>
        <v>1.9400000000000001E-2</v>
      </c>
      <c r="BH180" s="209">
        <f>'SIMULADOR COM SALDO'!BI179</f>
        <v>120</v>
      </c>
      <c r="BI180" s="209" t="str">
        <f>'SIMULADOR COM SALDO'!BJ179</f>
        <v/>
      </c>
      <c r="BJ180" s="209">
        <f>'SIMULADOR COM SALDO'!BK179</f>
        <v>2.4</v>
      </c>
      <c r="BK180" s="209">
        <f>'SIMULADOR COM SALDO'!BL179</f>
        <v>7</v>
      </c>
      <c r="BL180" s="209">
        <f>'SIMULADOR COM SALDO'!BM179</f>
        <v>43</v>
      </c>
      <c r="BM180" s="209" t="str">
        <f>'SIMULADOR COM SALDO'!BN179</f>
        <v>RFN - SEPLAG 3 DIG PORTABILIDADE</v>
      </c>
      <c r="BN180" s="209" t="str">
        <f>'SIMULADOR COM SALDO'!BO179</f>
        <v>1,34</v>
      </c>
      <c r="BO180" s="209">
        <f>'SIMULADOR COM SALDO'!BP179</f>
        <v>1.34E-2</v>
      </c>
      <c r="BP180" s="209">
        <f>'SIMULADOR COM SALDO'!BQ179</f>
        <v>2.2383797773615384E-2</v>
      </c>
      <c r="BQ180" s="209">
        <f>'SIMULADOR COM SALDO'!BR179</f>
        <v>2.4E-2</v>
      </c>
      <c r="BR180" s="209">
        <f>'SIMULADOR COM SALDO'!BS179</f>
        <v>2.9999999999999997E-4</v>
      </c>
    </row>
    <row r="181" spans="2:70" hidden="1" x14ac:dyDescent="0.25">
      <c r="B181">
        <v>144</v>
      </c>
      <c r="C181" s="13">
        <f t="shared" ca="1" si="80"/>
        <v>49531</v>
      </c>
      <c r="D181" s="14">
        <f t="shared" si="92"/>
        <v>0</v>
      </c>
      <c r="E181" s="14">
        <f t="shared" si="92"/>
        <v>0</v>
      </c>
      <c r="F181" s="14">
        <f t="shared" si="92"/>
        <v>0</v>
      </c>
      <c r="G181" s="14">
        <f t="shared" si="92"/>
        <v>0</v>
      </c>
      <c r="H181" s="14">
        <f t="shared" si="92"/>
        <v>0</v>
      </c>
      <c r="I181" s="14">
        <f t="shared" si="92"/>
        <v>0</v>
      </c>
      <c r="J181" s="14">
        <f t="shared" si="92"/>
        <v>0</v>
      </c>
      <c r="K181" s="14">
        <f t="shared" si="92"/>
        <v>0</v>
      </c>
      <c r="L181" s="14">
        <f t="shared" si="92"/>
        <v>0</v>
      </c>
      <c r="M181" s="224">
        <f t="shared" si="92"/>
        <v>0</v>
      </c>
      <c r="BC181" s="186" t="str">
        <f t="shared" si="93"/>
        <v>4SEPLAG</v>
      </c>
      <c r="BD181" s="186">
        <f t="shared" si="94"/>
        <v>4</v>
      </c>
      <c r="BE181" s="209" t="str">
        <f>'SIMULADOR COM SALDO'!BF180</f>
        <v>SEPLAG</v>
      </c>
      <c r="BF181" s="209" t="str">
        <f>'SIMULADOR COM SALDO'!BG180</f>
        <v>765604 - Tabela 4</v>
      </c>
      <c r="BG181" s="209">
        <f>'SIMULADOR COM SALDO'!BH180</f>
        <v>1.7899999999999999E-2</v>
      </c>
      <c r="BH181" s="209">
        <f>'SIMULADOR COM SALDO'!BI180</f>
        <v>120</v>
      </c>
      <c r="BI181" s="209" t="str">
        <f>'SIMULADOR COM SALDO'!BJ180</f>
        <v/>
      </c>
      <c r="BJ181" s="209">
        <f>'SIMULADOR COM SALDO'!BK180</f>
        <v>2.4</v>
      </c>
      <c r="BK181" s="209">
        <f>'SIMULADOR COM SALDO'!BL180</f>
        <v>7</v>
      </c>
      <c r="BL181" s="209">
        <f>'SIMULADOR COM SALDO'!BM180</f>
        <v>44</v>
      </c>
      <c r="BM181" s="209" t="str">
        <f>'SIMULADOR COM SALDO'!BN180</f>
        <v>RFN - SEPLAG 4 DIG PORTABILIDADE</v>
      </c>
      <c r="BN181" s="209" t="str">
        <f>'SIMULADOR COM SALDO'!BO180</f>
        <v>1,34</v>
      </c>
      <c r="BO181" s="209">
        <f>'SIMULADOR COM SALDO'!BP180</f>
        <v>1.34E-2</v>
      </c>
      <c r="BP181" s="209">
        <f>'SIMULADOR COM SALDO'!BQ180</f>
        <v>2.1103769815978828E-2</v>
      </c>
      <c r="BQ181" s="209">
        <f>'SIMULADOR COM SALDO'!BR180</f>
        <v>2.4E-2</v>
      </c>
      <c r="BR181" s="209">
        <f>'SIMULADOR COM SALDO'!BS180</f>
        <v>2.9999999999999997E-4</v>
      </c>
    </row>
    <row r="182" spans="2:70" hidden="1" x14ac:dyDescent="0.25">
      <c r="D182" s="15">
        <f ca="1">SUM(D38:D181)</f>
        <v>9971.830319817358</v>
      </c>
      <c r="E182" s="15">
        <f t="shared" ref="E182:M182" ca="1" si="95">SUM(E38:E181)</f>
        <v>9001.1211736404439</v>
      </c>
      <c r="F182" s="15">
        <f t="shared" si="95"/>
        <v>0</v>
      </c>
      <c r="G182" s="15">
        <f t="shared" si="95"/>
        <v>0</v>
      </c>
      <c r="H182" s="15">
        <f t="shared" si="95"/>
        <v>0</v>
      </c>
      <c r="I182" s="15">
        <f t="shared" si="95"/>
        <v>0</v>
      </c>
      <c r="J182" s="15">
        <f t="shared" si="95"/>
        <v>0</v>
      </c>
      <c r="K182" s="15">
        <f t="shared" si="95"/>
        <v>0</v>
      </c>
      <c r="L182" s="15">
        <f t="shared" si="95"/>
        <v>0</v>
      </c>
      <c r="M182" s="228">
        <f t="shared" si="95"/>
        <v>0</v>
      </c>
      <c r="BC182" s="186" t="str">
        <f t="shared" si="93"/>
        <v>1SIAPE SERV PORT</v>
      </c>
      <c r="BD182" s="186">
        <f t="shared" si="94"/>
        <v>1</v>
      </c>
      <c r="BE182" s="209" t="str">
        <f>'SIMULADOR COM SALDO'!BF181</f>
        <v>SIAPE SERV PORT</v>
      </c>
      <c r="BF182" s="209" t="str">
        <f>'SIMULADOR COM SALDO'!BG181</f>
        <v>795826 - Tabela 1</v>
      </c>
      <c r="BG182" s="209">
        <f>'SIMULADOR COM SALDO'!BH181</f>
        <v>2.0099999999999996E-2</v>
      </c>
      <c r="BH182" s="209">
        <f>'SIMULADOR COM SALDO'!BI181</f>
        <v>96</v>
      </c>
      <c r="BI182" s="209" t="str">
        <f>'SIMULADOR COM SALDO'!BJ181</f>
        <v/>
      </c>
      <c r="BJ182" s="209">
        <f>'SIMULADOR COM SALDO'!BK181</f>
        <v>2.0499999999999998</v>
      </c>
      <c r="BK182" s="209">
        <f>'SIMULADOR COM SALDO'!BL181</f>
        <v>15</v>
      </c>
      <c r="BL182" s="209">
        <f>'SIMULADOR COM SALDO'!BM181</f>
        <v>51</v>
      </c>
      <c r="BM182" s="209" t="str">
        <f>'SIMULADOR COM SALDO'!BN181</f>
        <v>RFN - SIAPE FED DIG PORTAB 1 PLUS</v>
      </c>
      <c r="BN182" s="209" t="str">
        <f>'SIMULADOR COM SALDO'!BO181</f>
        <v>1,29</v>
      </c>
      <c r="BO182" s="209">
        <f>'SIMULADOR COM SALDO'!BP181</f>
        <v>1.29E-2</v>
      </c>
      <c r="BP182" s="209">
        <f>'SIMULADOR COM SALDO'!BQ181</f>
        <v>2.4644572035775369E-2</v>
      </c>
      <c r="BQ182" s="209">
        <f>'SIMULADOR COM SALDO'!BR181</f>
        <v>2.0499999999999997E-2</v>
      </c>
      <c r="BR182" s="209">
        <f>'SIMULADOR COM SALDO'!BS181</f>
        <v>2.9999999999999997E-4</v>
      </c>
    </row>
    <row r="183" spans="2:70" hidden="1" x14ac:dyDescent="0.25">
      <c r="BC183" s="186" t="str">
        <f t="shared" si="93"/>
        <v>2SIAPE SERV PORT</v>
      </c>
      <c r="BD183" s="186">
        <f t="shared" si="94"/>
        <v>2</v>
      </c>
      <c r="BE183" s="209" t="str">
        <f>'SIMULADOR COM SALDO'!BF182</f>
        <v>SIAPE SERV PORT</v>
      </c>
      <c r="BF183" s="209" t="str">
        <f>'SIMULADOR COM SALDO'!BG182</f>
        <v>795827 - Tabela 2</v>
      </c>
      <c r="BG183" s="209">
        <f>'SIMULADOR COM SALDO'!BH182</f>
        <v>1.9099999999999999E-2</v>
      </c>
      <c r="BH183" s="209">
        <f>'SIMULADOR COM SALDO'!BI182</f>
        <v>96</v>
      </c>
      <c r="BI183" s="209" t="str">
        <f>'SIMULADOR COM SALDO'!BJ182</f>
        <v/>
      </c>
      <c r="BJ183" s="209">
        <f>'SIMULADOR COM SALDO'!BK182</f>
        <v>2.0499999999999998</v>
      </c>
      <c r="BK183" s="209">
        <f>'SIMULADOR COM SALDO'!BL182</f>
        <v>15</v>
      </c>
      <c r="BL183" s="209">
        <f>'SIMULADOR COM SALDO'!BM182</f>
        <v>51</v>
      </c>
      <c r="BM183" s="209" t="str">
        <f>'SIMULADOR COM SALDO'!BN182</f>
        <v>RFN - SIAPE FED DIG PORTAB 2 PLUS</v>
      </c>
      <c r="BN183" s="209" t="str">
        <f>'SIMULADOR COM SALDO'!BO182</f>
        <v>1,29</v>
      </c>
      <c r="BO183" s="209">
        <f>'SIMULADOR COM SALDO'!BP182</f>
        <v>1.29E-2</v>
      </c>
      <c r="BP183" s="209">
        <f>'SIMULADOR COM SALDO'!BQ182</f>
        <v>2.3810799887260203E-2</v>
      </c>
      <c r="BQ183" s="209">
        <f>'SIMULADOR COM SALDO'!BR182</f>
        <v>2.0499999999999997E-2</v>
      </c>
      <c r="BR183" s="209">
        <f>'SIMULADOR COM SALDO'!BS182</f>
        <v>2.9999999999999997E-4</v>
      </c>
    </row>
    <row r="184" spans="2:70" hidden="1" x14ac:dyDescent="0.25">
      <c r="BC184" s="186" t="str">
        <f t="shared" si="93"/>
        <v>3SIAPE SERV PORT</v>
      </c>
      <c r="BD184" s="186">
        <f t="shared" si="94"/>
        <v>3</v>
      </c>
      <c r="BE184" s="209" t="str">
        <f>'SIMULADOR COM SALDO'!BF183</f>
        <v>SIAPE SERV PORT</v>
      </c>
      <c r="BF184" s="209" t="str">
        <f>'SIMULADOR COM SALDO'!BG183</f>
        <v>795828 - Tabela 3</v>
      </c>
      <c r="BG184" s="209">
        <f>'SIMULADOR COM SALDO'!BH183</f>
        <v>1.8100000000000002E-2</v>
      </c>
      <c r="BH184" s="209">
        <f>'SIMULADOR COM SALDO'!BI183</f>
        <v>96</v>
      </c>
      <c r="BI184" s="209" t="str">
        <f>'SIMULADOR COM SALDO'!BJ183</f>
        <v/>
      </c>
      <c r="BJ184" s="209">
        <f>'SIMULADOR COM SALDO'!BK183</f>
        <v>2.0499999999999998</v>
      </c>
      <c r="BK184" s="209">
        <f>'SIMULADOR COM SALDO'!BL183</f>
        <v>15</v>
      </c>
      <c r="BL184" s="209">
        <f>'SIMULADOR COM SALDO'!BM183</f>
        <v>51</v>
      </c>
      <c r="BM184" s="209" t="str">
        <f>'SIMULADOR COM SALDO'!BN183</f>
        <v>RFN - SIAPE FED DIG PORTAB 3 PLUS</v>
      </c>
      <c r="BN184" s="209" t="str">
        <f>'SIMULADOR COM SALDO'!BO183</f>
        <v>1,29</v>
      </c>
      <c r="BO184" s="209">
        <f>'SIMULADOR COM SALDO'!BP183</f>
        <v>1.29E-2</v>
      </c>
      <c r="BP184" s="209">
        <f>'SIMULADOR COM SALDO'!BQ183</f>
        <v>2.2989923818355646E-2</v>
      </c>
      <c r="BQ184" s="209">
        <f>'SIMULADOR COM SALDO'!BR183</f>
        <v>2.0499999999999997E-2</v>
      </c>
      <c r="BR184" s="209">
        <f>'SIMULADOR COM SALDO'!BS183</f>
        <v>2.9999999999999997E-4</v>
      </c>
    </row>
    <row r="185" spans="2:70" x14ac:dyDescent="0.25">
      <c r="BC185" s="186" t="str">
        <f t="shared" si="93"/>
        <v>1TJ BAHIA</v>
      </c>
      <c r="BD185" s="186">
        <f t="shared" si="94"/>
        <v>1</v>
      </c>
      <c r="BE185" s="209" t="str">
        <f>'SIMULADOR COM SALDO'!BF184</f>
        <v>TJ BAHIA</v>
      </c>
      <c r="BF185" s="209" t="str">
        <f>'SIMULADOR COM SALDO'!BG184</f>
        <v>715863 - Tabela 3</v>
      </c>
      <c r="BG185" s="209">
        <f>'SIMULADOR COM SALDO'!BH184</f>
        <v>0.02</v>
      </c>
      <c r="BH185" s="209">
        <f>'SIMULADOR COM SALDO'!BI184</f>
        <v>120</v>
      </c>
      <c r="BI185" s="209" t="str">
        <f>'SIMULADOR COM SALDO'!BJ184</f>
        <v/>
      </c>
      <c r="BJ185" s="209">
        <f>'SIMULADOR COM SALDO'!BK184</f>
        <v>2.2000000000000002</v>
      </c>
      <c r="BK185" s="209">
        <f>'SIMULADOR COM SALDO'!BL184</f>
        <v>1</v>
      </c>
      <c r="BL185" s="209">
        <f>'SIMULADOR COM SALDO'!BM184</f>
        <v>41</v>
      </c>
      <c r="BM185" s="209" t="str">
        <f>'SIMULADOR COM SALDO'!BN184</f>
        <v>RFN - TJ - BAHIA 3 DIG PORTAB</v>
      </c>
      <c r="BN185" s="209" t="str">
        <f>'SIMULADOR COM SALDO'!BO184</f>
        <v>1,5</v>
      </c>
      <c r="BO185" s="209">
        <f>'SIMULADOR COM SALDO'!BP184</f>
        <v>1.4999999999999999E-2</v>
      </c>
      <c r="BP185" s="209">
        <f>'SIMULADOR COM SALDO'!BQ184</f>
        <v>2.2878808512286165E-2</v>
      </c>
      <c r="BQ185" s="209">
        <f>'SIMULADOR COM SALDO'!BR184</f>
        <v>2.2000000000000002E-2</v>
      </c>
      <c r="BR185" s="209">
        <f>'SIMULADOR COM SALDO'!BS184</f>
        <v>2.9999999999999997E-4</v>
      </c>
    </row>
    <row r="186" spans="2:70" x14ac:dyDescent="0.25">
      <c r="BC186" s="186" t="str">
        <f t="shared" si="93"/>
        <v>1TJ SAO PAULO</v>
      </c>
      <c r="BD186" s="186">
        <f t="shared" si="94"/>
        <v>1</v>
      </c>
      <c r="BE186" s="209" t="str">
        <f>'SIMULADOR COM SALDO'!BF185</f>
        <v>TJ SAO PAULO</v>
      </c>
      <c r="BF186" s="209" t="str">
        <f>'SIMULADOR COM SALDO'!BG185</f>
        <v>901063 - Tabela 1</v>
      </c>
      <c r="BG186" s="209">
        <f>'SIMULADOR COM SALDO'!BH185</f>
        <v>2.2200000000000001E-2</v>
      </c>
      <c r="BH186" s="209">
        <f>'SIMULADOR COM SALDO'!BI185</f>
        <v>96</v>
      </c>
      <c r="BI186" s="209" t="str">
        <f>'SIMULADOR COM SALDO'!BJ185</f>
        <v/>
      </c>
      <c r="BJ186" s="209">
        <f>'SIMULADOR COM SALDO'!BK185</f>
        <v>2.2200000000000002</v>
      </c>
      <c r="BK186" s="209">
        <f>'SIMULADOR COM SALDO'!BL185</f>
        <v>10</v>
      </c>
      <c r="BL186" s="209">
        <f>'SIMULADOR COM SALDO'!BM185</f>
        <v>27</v>
      </c>
      <c r="BM186" s="209" t="str">
        <f>'SIMULADOR COM SALDO'!BN185</f>
        <v>RFN - TJ SP PORTAB 1 DIG SERVIDOR</v>
      </c>
      <c r="BN186" s="209" t="str">
        <f>'SIMULADOR COM SALDO'!BO185</f>
        <v>1,75</v>
      </c>
      <c r="BO186" s="209">
        <f>'SIMULADOR COM SALDO'!BP185</f>
        <v>1.7500000000000002E-2</v>
      </c>
      <c r="BP186" s="209">
        <f>'SIMULADOR COM SALDO'!BQ185</f>
        <v>2.5975486690588759E-2</v>
      </c>
      <c r="BQ186" s="209">
        <f>'SIMULADOR COM SALDO'!BR185</f>
        <v>2.2200000000000001E-2</v>
      </c>
      <c r="BR186" s="209">
        <f>'SIMULADOR COM SALDO'!BS185</f>
        <v>2.9999999999999997E-4</v>
      </c>
    </row>
    <row r="187" spans="2:70" x14ac:dyDescent="0.25">
      <c r="BC187" s="186" t="str">
        <f t="shared" si="93"/>
        <v>2TJ SAO PAULO</v>
      </c>
      <c r="BD187" s="186">
        <f t="shared" si="94"/>
        <v>2</v>
      </c>
      <c r="BE187" s="209" t="str">
        <f>'SIMULADOR COM SALDO'!BF186</f>
        <v>TJ SAO PAULO</v>
      </c>
      <c r="BF187" s="209" t="str">
        <f>'SIMULADOR COM SALDO'!BG186</f>
        <v>901059 - Tabela 2</v>
      </c>
      <c r="BG187" s="209">
        <f>'SIMULADOR COM SALDO'!BH186</f>
        <v>2.1000000000000001E-2</v>
      </c>
      <c r="BH187" s="209">
        <f>'SIMULADOR COM SALDO'!BI186</f>
        <v>96</v>
      </c>
      <c r="BI187" s="209" t="str">
        <f>'SIMULADOR COM SALDO'!BJ186</f>
        <v/>
      </c>
      <c r="BJ187" s="209">
        <f>'SIMULADOR COM SALDO'!BK186</f>
        <v>2.2200000000000002</v>
      </c>
      <c r="BK187" s="209">
        <f>'SIMULADOR COM SALDO'!BL186</f>
        <v>10</v>
      </c>
      <c r="BL187" s="209">
        <f>'SIMULADOR COM SALDO'!BM186</f>
        <v>27</v>
      </c>
      <c r="BM187" s="209" t="str">
        <f>'SIMULADOR COM SALDO'!BN186</f>
        <v>RFN - TJ SP PORTAB 2 DIG SERVIDOR</v>
      </c>
      <c r="BN187" s="209" t="str">
        <f>'SIMULADOR COM SALDO'!BO186</f>
        <v>1,75</v>
      </c>
      <c r="BO187" s="209">
        <f>'SIMULADOR COM SALDO'!BP186</f>
        <v>1.7500000000000002E-2</v>
      </c>
      <c r="BP187" s="209">
        <f>'SIMULADOR COM SALDO'!BQ186</f>
        <v>2.4986779196804979E-2</v>
      </c>
      <c r="BQ187" s="209">
        <f>'SIMULADOR COM SALDO'!BR186</f>
        <v>2.2200000000000001E-2</v>
      </c>
      <c r="BR187" s="209">
        <f>'SIMULADOR COM SALDO'!BS186</f>
        <v>2.9999999999999997E-4</v>
      </c>
    </row>
    <row r="188" spans="2:70" x14ac:dyDescent="0.25">
      <c r="BC188" s="186" t="str">
        <f t="shared" si="93"/>
        <v>3TJ SAO PAULO</v>
      </c>
      <c r="BD188" s="186">
        <f t="shared" si="94"/>
        <v>3</v>
      </c>
      <c r="BE188" s="209" t="str">
        <f>'SIMULADOR COM SALDO'!BF187</f>
        <v>TJ SAO PAULO</v>
      </c>
      <c r="BF188" s="209" t="str">
        <f>'SIMULADOR COM SALDO'!BG187</f>
        <v>901064 - Tabela 3</v>
      </c>
      <c r="BG188" s="209">
        <f>'SIMULADOR COM SALDO'!BH187</f>
        <v>0.02</v>
      </c>
      <c r="BH188" s="209">
        <f>'SIMULADOR COM SALDO'!BI187</f>
        <v>96</v>
      </c>
      <c r="BI188" s="209" t="str">
        <f>'SIMULADOR COM SALDO'!BJ187</f>
        <v/>
      </c>
      <c r="BJ188" s="209">
        <f>'SIMULADOR COM SALDO'!BK187</f>
        <v>2.2200000000000002</v>
      </c>
      <c r="BK188" s="209">
        <f>'SIMULADOR COM SALDO'!BL187</f>
        <v>10</v>
      </c>
      <c r="BL188" s="209">
        <f>'SIMULADOR COM SALDO'!BM187</f>
        <v>27</v>
      </c>
      <c r="BM188" s="209" t="str">
        <f>'SIMULADOR COM SALDO'!BN187</f>
        <v>RFN - TJ SP PORTAB 3 DIG SERVIDOR</v>
      </c>
      <c r="BN188" s="209" t="str">
        <f>'SIMULADOR COM SALDO'!BO187</f>
        <v>1,75</v>
      </c>
      <c r="BO188" s="209">
        <f>'SIMULADOR COM SALDO'!BP187</f>
        <v>1.7500000000000002E-2</v>
      </c>
      <c r="BP188" s="209">
        <f>'SIMULADOR COM SALDO'!BQ187</f>
        <v>2.4174599048583423E-2</v>
      </c>
      <c r="BQ188" s="209">
        <f>'SIMULADOR COM SALDO'!BR187</f>
        <v>2.2200000000000001E-2</v>
      </c>
      <c r="BR188" s="209">
        <f>'SIMULADOR COM SALDO'!BS187</f>
        <v>2.9999999999999997E-4</v>
      </c>
    </row>
    <row r="189" spans="2:70" x14ac:dyDescent="0.25">
      <c r="BC189" s="186" t="str">
        <f t="shared" si="93"/>
        <v>4TJ SAO PAULO</v>
      </c>
      <c r="BD189" s="186">
        <f t="shared" si="94"/>
        <v>4</v>
      </c>
      <c r="BE189" s="209" t="str">
        <f>'SIMULADOR COM SALDO'!BF188</f>
        <v>TJ SAO PAULO</v>
      </c>
      <c r="BF189" s="209" t="str">
        <f>'SIMULADOR COM SALDO'!BG188</f>
        <v>901068 - Tabela 3</v>
      </c>
      <c r="BG189" s="209">
        <f>'SIMULADOR COM SALDO'!BH188</f>
        <v>0.02</v>
      </c>
      <c r="BH189" s="209">
        <f>'SIMULADOR COM SALDO'!BI188</f>
        <v>96</v>
      </c>
      <c r="BI189" s="209" t="str">
        <f>'SIMULADOR COM SALDO'!BJ188</f>
        <v/>
      </c>
      <c r="BJ189" s="209">
        <f>'SIMULADOR COM SALDO'!BK188</f>
        <v>2.2200000000000002</v>
      </c>
      <c r="BK189" s="209">
        <f>'SIMULADOR COM SALDO'!BL188</f>
        <v>10</v>
      </c>
      <c r="BL189" s="209">
        <f>'SIMULADOR COM SALDO'!BM188</f>
        <v>27</v>
      </c>
      <c r="BM189" s="209" t="str">
        <f>'SIMULADOR COM SALDO'!BN188</f>
        <v>RFN - TJ SP PORTAB 3 DIG MAGISTRADO</v>
      </c>
      <c r="BN189" s="209" t="str">
        <f>'SIMULADOR COM SALDO'!BO188</f>
        <v>1,75</v>
      </c>
      <c r="BO189" s="209">
        <f>'SIMULADOR COM SALDO'!BP188</f>
        <v>1.7500000000000002E-2</v>
      </c>
      <c r="BP189" s="209">
        <f>'SIMULADOR COM SALDO'!BQ188</f>
        <v>2.4174599048583423E-2</v>
      </c>
      <c r="BQ189" s="209">
        <f>'SIMULADOR COM SALDO'!BR188</f>
        <v>2.2200000000000001E-2</v>
      </c>
      <c r="BR189" s="209">
        <f>'SIMULADOR COM SALDO'!BS188</f>
        <v>2.9999999999999997E-4</v>
      </c>
    </row>
    <row r="190" spans="2:70" x14ac:dyDescent="0.25">
      <c r="BC190" s="186" t="str">
        <f t="shared" si="93"/>
        <v>1USP</v>
      </c>
      <c r="BD190" s="186">
        <f t="shared" si="94"/>
        <v>1</v>
      </c>
      <c r="BE190" s="209" t="str">
        <f>'SIMULADOR COM SALDO'!BF189</f>
        <v>USP</v>
      </c>
      <c r="BF190" s="209" t="str">
        <f>'SIMULADOR COM SALDO'!BG189</f>
        <v>725543 - Tabela 2</v>
      </c>
      <c r="BG190" s="209">
        <f>'SIMULADOR COM SALDO'!BH189</f>
        <v>2.1000000000000001E-2</v>
      </c>
      <c r="BH190" s="209">
        <f>'SIMULADOR COM SALDO'!BI189</f>
        <v>96</v>
      </c>
      <c r="BI190" s="209" t="str">
        <f>'SIMULADOR COM SALDO'!BJ189</f>
        <v/>
      </c>
      <c r="BJ190" s="209">
        <f>'SIMULADOR COM SALDO'!BK189</f>
        <v>2.25</v>
      </c>
      <c r="BK190" s="209">
        <f>'SIMULADOR COM SALDO'!BL189</f>
        <v>15</v>
      </c>
      <c r="BL190" s="209">
        <f>'SIMULADOR COM SALDO'!BM189</f>
        <v>44</v>
      </c>
      <c r="BM190" s="209" t="str">
        <f>'SIMULADOR COM SALDO'!BN189</f>
        <v>RFN - USP PORTAB 2 DIG</v>
      </c>
      <c r="BN190" s="209" t="str">
        <f>'SIMULADOR COM SALDO'!BO189</f>
        <v>1,89</v>
      </c>
      <c r="BO190" s="209">
        <f>'SIMULADOR COM SALDO'!BP189</f>
        <v>1.89E-2</v>
      </c>
      <c r="BP190" s="209">
        <f>'SIMULADOR COM SALDO'!BQ189</f>
        <v>2.5282782363328059E-2</v>
      </c>
      <c r="BQ190" s="209">
        <f>'SIMULADOR COM SALDO'!BR189</f>
        <v>2.2499999999999999E-2</v>
      </c>
      <c r="BR190" s="209">
        <f>'SIMULADOR COM SALDO'!BS189</f>
        <v>2.9999999999999997E-4</v>
      </c>
    </row>
    <row r="191" spans="2:70" x14ac:dyDescent="0.25">
      <c r="BC191" s="186" t="str">
        <f t="shared" si="93"/>
        <v>10</v>
      </c>
      <c r="BD191" s="186">
        <f t="shared" si="94"/>
        <v>1</v>
      </c>
      <c r="BE191" s="209">
        <f>'SIMULADOR COM SALDO'!BF190</f>
        <v>0</v>
      </c>
      <c r="BF191" s="209">
        <f>'SIMULADOR COM SALDO'!BG190</f>
        <v>0</v>
      </c>
      <c r="BG191" s="209">
        <f>'SIMULADOR COM SALDO'!BH190</f>
        <v>0</v>
      </c>
      <c r="BH191" s="209">
        <f>'SIMULADOR COM SALDO'!BI190</f>
        <v>0</v>
      </c>
      <c r="BI191" s="209">
        <f>'SIMULADOR COM SALDO'!BJ190</f>
        <v>0</v>
      </c>
      <c r="BJ191" s="209">
        <f>'SIMULADOR COM SALDO'!BK190</f>
        <v>0</v>
      </c>
      <c r="BK191" s="209">
        <f>'SIMULADOR COM SALDO'!BL190</f>
        <v>0</v>
      </c>
      <c r="BL191" s="209">
        <f>'SIMULADOR COM SALDO'!BM190</f>
        <v>0</v>
      </c>
      <c r="BM191" s="209">
        <f>'SIMULADOR COM SALDO'!BN190</f>
        <v>0</v>
      </c>
      <c r="BN191" s="209">
        <f>'SIMULADOR COM SALDO'!BO190</f>
        <v>0</v>
      </c>
      <c r="BO191" s="209">
        <f>'SIMULADOR COM SALDO'!BP190</f>
        <v>0</v>
      </c>
      <c r="BP191" s="209" t="e">
        <f>'SIMULADOR COM SALDO'!BQ190</f>
        <v>#NUM!</v>
      </c>
      <c r="BQ191" s="209">
        <f>'SIMULADOR COM SALDO'!BR190</f>
        <v>0</v>
      </c>
      <c r="BR191" s="209">
        <f>'SIMULADOR COM SALDO'!BS190</f>
        <v>2.9999999999999997E-4</v>
      </c>
    </row>
    <row r="192" spans="2:70" x14ac:dyDescent="0.25">
      <c r="BC192" s="186" t="str">
        <f t="shared" si="93"/>
        <v>20</v>
      </c>
      <c r="BD192" s="186">
        <f t="shared" si="94"/>
        <v>2</v>
      </c>
      <c r="BE192" s="209">
        <f>'SIMULADOR COM SALDO'!BF191</f>
        <v>0</v>
      </c>
      <c r="BF192" s="209">
        <f>'SIMULADOR COM SALDO'!BG191</f>
        <v>0</v>
      </c>
      <c r="BG192" s="209">
        <f>'SIMULADOR COM SALDO'!BH191</f>
        <v>0</v>
      </c>
      <c r="BH192" s="209">
        <f>'SIMULADOR COM SALDO'!BI191</f>
        <v>0</v>
      </c>
      <c r="BI192" s="209">
        <f>'SIMULADOR COM SALDO'!BJ191</f>
        <v>0</v>
      </c>
      <c r="BJ192" s="209">
        <f>'SIMULADOR COM SALDO'!BK191</f>
        <v>0</v>
      </c>
      <c r="BK192" s="209">
        <f>'SIMULADOR COM SALDO'!BL191</f>
        <v>0</v>
      </c>
      <c r="BL192" s="209">
        <f>'SIMULADOR COM SALDO'!BM191</f>
        <v>0</v>
      </c>
      <c r="BM192" s="209">
        <f>'SIMULADOR COM SALDO'!BN191</f>
        <v>0</v>
      </c>
      <c r="BN192" s="209">
        <f>'SIMULADOR COM SALDO'!BO191</f>
        <v>0</v>
      </c>
      <c r="BO192" s="209">
        <f>'SIMULADOR COM SALDO'!BP191</f>
        <v>0</v>
      </c>
      <c r="BP192" s="209" t="e">
        <f>'SIMULADOR COM SALDO'!BQ191</f>
        <v>#NUM!</v>
      </c>
      <c r="BQ192" s="209">
        <f>'SIMULADOR COM SALDO'!BR191</f>
        <v>0</v>
      </c>
      <c r="BR192" s="209">
        <f>'SIMULADOR COM SALDO'!BS191</f>
        <v>2.9999999999999997E-4</v>
      </c>
    </row>
    <row r="193" spans="55:70" x14ac:dyDescent="0.25">
      <c r="BC193" s="186" t="str">
        <f t="shared" si="93"/>
        <v>30</v>
      </c>
      <c r="BD193" s="186">
        <f t="shared" si="94"/>
        <v>3</v>
      </c>
      <c r="BE193" s="209">
        <f>'SIMULADOR COM SALDO'!BF192</f>
        <v>0</v>
      </c>
      <c r="BF193" s="209">
        <f>'SIMULADOR COM SALDO'!BG192</f>
        <v>0</v>
      </c>
      <c r="BG193" s="209">
        <f>'SIMULADOR COM SALDO'!BH192</f>
        <v>0</v>
      </c>
      <c r="BH193" s="209">
        <f>'SIMULADOR COM SALDO'!BI192</f>
        <v>0</v>
      </c>
      <c r="BI193" s="209">
        <f>'SIMULADOR COM SALDO'!BJ192</f>
        <v>0</v>
      </c>
      <c r="BJ193" s="209">
        <f>'SIMULADOR COM SALDO'!BK192</f>
        <v>0</v>
      </c>
      <c r="BK193" s="209">
        <f>'SIMULADOR COM SALDO'!BL192</f>
        <v>0</v>
      </c>
      <c r="BL193" s="209">
        <f>'SIMULADOR COM SALDO'!BM192</f>
        <v>0</v>
      </c>
      <c r="BM193" s="209">
        <f>'SIMULADOR COM SALDO'!BN192</f>
        <v>0</v>
      </c>
      <c r="BN193" s="209">
        <f>'SIMULADOR COM SALDO'!BO192</f>
        <v>0</v>
      </c>
      <c r="BO193" s="209">
        <f>'SIMULADOR COM SALDO'!BP192</f>
        <v>0</v>
      </c>
      <c r="BP193" s="209" t="e">
        <f>'SIMULADOR COM SALDO'!BQ192</f>
        <v>#NUM!</v>
      </c>
      <c r="BQ193" s="209">
        <f>'SIMULADOR COM SALDO'!BR192</f>
        <v>0</v>
      </c>
      <c r="BR193" s="209">
        <f>'SIMULADOR COM SALDO'!BS192</f>
        <v>2.9999999999999997E-4</v>
      </c>
    </row>
    <row r="218" spans="2:2" hidden="1" x14ac:dyDescent="0.25">
      <c r="B218" t="s">
        <v>56</v>
      </c>
    </row>
  </sheetData>
  <sheetProtection algorithmName="SHA-512" hashValue="y4kjq4oXxlOsMyGuPyjM8U2ZNBaCb4L8Ng9BUvfdKk0Lw/2yH1whZW80arZa8MmHBtkikFcakjLcV3QPEmdBiw==" saltValue="ItrNS/C8GFIsGpJO5DtIDw==" spinCount="100000" sheet="1" objects="1" scenarios="1"/>
  <protectedRanges>
    <protectedRange sqref="D24 F15:M17 D20:M20" name="Intervalo1"/>
    <protectedRange sqref="D15:E17" name="Intervalo1_2"/>
  </protectedRanges>
  <autoFilter ref="BC23:BR181" xr:uid="{4479FEB8-A73B-4A20-9800-A3E8917D48B3}">
    <sortState xmlns:xlrd2="http://schemas.microsoft.com/office/spreadsheetml/2017/richdata2" ref="BC24:BR181">
      <sortCondition ref="BE23:BE181"/>
    </sortState>
  </autoFilter>
  <mergeCells count="27">
    <mergeCell ref="AJ14:AL14"/>
    <mergeCell ref="AJ17:AK17"/>
    <mergeCell ref="AB18:AC18"/>
    <mergeCell ref="AF18:AG18"/>
    <mergeCell ref="AJ18:AK18"/>
    <mergeCell ref="AB14:AD14"/>
    <mergeCell ref="AF14:AH14"/>
    <mergeCell ref="AB17:AC17"/>
    <mergeCell ref="AF17:AG17"/>
    <mergeCell ref="B25:C25"/>
    <mergeCell ref="AJ19:AK19"/>
    <mergeCell ref="AB20:AC20"/>
    <mergeCell ref="AF20:AG20"/>
    <mergeCell ref="AJ20:AK20"/>
    <mergeCell ref="AB19:AC19"/>
    <mergeCell ref="AF19:AG19"/>
    <mergeCell ref="B20:C20"/>
    <mergeCell ref="B23:C23"/>
    <mergeCell ref="B15:C15"/>
    <mergeCell ref="B16:C16"/>
    <mergeCell ref="B17:C17"/>
    <mergeCell ref="B24:C24"/>
    <mergeCell ref="D2:J2"/>
    <mergeCell ref="B13:C13"/>
    <mergeCell ref="G8:H8"/>
    <mergeCell ref="B18:C18"/>
    <mergeCell ref="B21:C21"/>
  </mergeCells>
  <phoneticPr fontId="24" type="noConversion"/>
  <conditionalFormatting sqref="J27:J33">
    <cfRule type="cellIs" dxfId="46" priority="6" operator="greaterThan">
      <formula>99.99</formula>
    </cfRule>
    <cfRule type="cellIs" priority="18" operator="equal">
      <formula>0</formula>
    </cfRule>
    <cfRule type="cellIs" dxfId="45" priority="19" operator="lessThan">
      <formula>H27*2%</formula>
    </cfRule>
    <cfRule type="cellIs" dxfId="44" priority="99" operator="greaterThan">
      <formula>H27*2%</formula>
    </cfRule>
    <cfRule type="expression" dxfId="43" priority="1">
      <formula>K27=$G$36</formula>
    </cfRule>
  </conditionalFormatting>
  <conditionalFormatting sqref="D18:M18">
    <cfRule type="cellIs" dxfId="42" priority="4" operator="lessThan">
      <formula>$E$23</formula>
    </cfRule>
  </conditionalFormatting>
  <conditionalFormatting sqref="K27:K33">
    <cfRule type="cellIs" dxfId="41" priority="2" operator="equal">
      <formula>"Não Libera Troco"</formula>
    </cfRule>
    <cfRule type="cellIs" dxfId="40" priority="11" operator="equal">
      <formula>"vide obs  (*)"</formula>
    </cfRule>
  </conditionalFormatting>
  <conditionalFormatting sqref="K27:K33">
    <cfRule type="cellIs" dxfId="39" priority="9" operator="equal">
      <formula>"vide obs  (*)"</formula>
    </cfRule>
    <cfRule type="cellIs" dxfId="38" priority="10" operator="equal">
      <formula>"TAB disponivel "</formula>
    </cfRule>
  </conditionalFormatting>
  <conditionalFormatting sqref="K27:K33">
    <cfRule type="containsText" dxfId="37" priority="7" operator="containsText" text="TAB disponivel">
      <formula>NOT(ISERROR(SEARCH("TAB disponivel",K27)))</formula>
    </cfRule>
    <cfRule type="containsText" dxfId="36" priority="8" operator="containsText" text="Tabela Superior Taxa Ponderada">
      <formula>NOT(ISERROR(SEARCH("Tabela Superior Taxa Ponderada",K27)))</formula>
    </cfRule>
  </conditionalFormatting>
  <conditionalFormatting sqref="J27:J33">
    <cfRule type="expression" dxfId="35" priority="3">
      <formula>(K27=$B$218)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ignoredErrors>
    <ignoredError sqref="H3" evalError="1"/>
  </ignoredError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8738877-4EA7-4881-AA7A-0DEDDCEF27B4}">
          <x14:formula1>
            <xm:f>'SIMULADOR COM SALDO'!$BU$23:$BU$80</xm:f>
          </x14:formula1>
          <xm:sqref>E8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3"/>
  <dimension ref="B1:DK195"/>
  <sheetViews>
    <sheetView showGridLines="0" tabSelected="1" zoomScale="84" zoomScaleNormal="84" workbookViewId="0">
      <selection activeCell="F6" sqref="F6"/>
    </sheetView>
  </sheetViews>
  <sheetFormatPr defaultColWidth="9.140625" defaultRowHeight="15" x14ac:dyDescent="0.25"/>
  <cols>
    <col min="1" max="1" width="0.7109375" customWidth="1"/>
    <col min="2" max="2" width="12.28515625" style="4" customWidth="1"/>
    <col min="3" max="3" width="22.85546875" style="4" customWidth="1"/>
    <col min="4" max="4" width="12.42578125" style="4" customWidth="1"/>
    <col min="5" max="5" width="22.85546875" style="4" customWidth="1"/>
    <col min="6" max="6" width="17.7109375" style="4" customWidth="1"/>
    <col min="7" max="7" width="14" style="4" customWidth="1"/>
    <col min="8" max="8" width="14.7109375" style="4" customWidth="1"/>
    <col min="9" max="10" width="15.7109375" style="4" customWidth="1"/>
    <col min="11" max="11" width="15" style="4" customWidth="1"/>
    <col min="12" max="12" width="15.7109375" style="4" customWidth="1"/>
    <col min="13" max="13" width="15.42578125" style="4" customWidth="1"/>
    <col min="14" max="14" width="15.140625" style="4" customWidth="1"/>
    <col min="15" max="15" width="14.28515625" style="229" hidden="1" customWidth="1"/>
    <col min="16" max="16" width="12.140625" style="229" hidden="1" customWidth="1"/>
    <col min="17" max="17" width="9.140625" style="229" hidden="1" customWidth="1"/>
    <col min="18" max="18" width="14.28515625" style="229" hidden="1" customWidth="1"/>
    <col min="19" max="19" width="13" style="229" hidden="1" customWidth="1"/>
    <col min="20" max="20" width="12.42578125" style="229" hidden="1" customWidth="1"/>
    <col min="21" max="21" width="9.42578125" style="229" hidden="1" customWidth="1"/>
    <col min="22" max="22" width="10.7109375" style="229" hidden="1" customWidth="1"/>
    <col min="23" max="23" width="12.140625" style="229" hidden="1" customWidth="1"/>
    <col min="24" max="24" width="13.28515625" style="229" hidden="1" customWidth="1"/>
    <col min="25" max="25" width="10" style="229" hidden="1" customWidth="1"/>
    <col min="26" max="26" width="10.28515625" style="229" hidden="1" customWidth="1"/>
    <col min="27" max="27" width="13.85546875" style="229" hidden="1" customWidth="1"/>
    <col min="28" max="28" width="8.140625" style="229" hidden="1" customWidth="1"/>
    <col min="29" max="29" width="9.140625" style="229" hidden="1" customWidth="1"/>
    <col min="30" max="30" width="11.7109375" style="229" hidden="1" customWidth="1"/>
    <col min="31" max="31" width="11.85546875" style="229" hidden="1" customWidth="1"/>
    <col min="32" max="32" width="9.140625" style="229" hidden="1" customWidth="1"/>
    <col min="33" max="33" width="9.140625" style="230" hidden="1" customWidth="1"/>
    <col min="34" max="34" width="11.28515625" style="229" hidden="1" customWidth="1"/>
    <col min="35" max="35" width="13.28515625" style="229" hidden="1" customWidth="1"/>
    <col min="36" max="36" width="9.85546875" style="229" hidden="1" customWidth="1"/>
    <col min="37" max="37" width="30" style="229" hidden="1" customWidth="1"/>
    <col min="38" max="39" width="11.28515625" style="229" hidden="1" customWidth="1"/>
    <col min="40" max="40" width="9.140625" style="229" hidden="1" customWidth="1"/>
    <col min="41" max="41" width="4.5703125" style="229" hidden="1" customWidth="1"/>
    <col min="42" max="42" width="11.42578125" style="230" hidden="1" customWidth="1"/>
    <col min="43" max="43" width="15.85546875" style="230" hidden="1" customWidth="1"/>
    <col min="44" max="44" width="12.85546875" style="117" hidden="1" customWidth="1"/>
    <col min="45" max="45" width="13.42578125" style="161" hidden="1" customWidth="1"/>
    <col min="46" max="46" width="12.42578125" style="161" hidden="1" customWidth="1"/>
    <col min="47" max="51" width="6.5703125" style="161" hidden="1" customWidth="1"/>
    <col min="52" max="55" width="9.140625" style="161" hidden="1" customWidth="1"/>
    <col min="56" max="56" width="19.7109375" style="161" hidden="1" customWidth="1"/>
    <col min="57" max="57" width="9.140625" style="161" hidden="1" customWidth="1"/>
    <col min="58" max="58" width="16.7109375" style="161" hidden="1" customWidth="1"/>
    <col min="59" max="59" width="36.85546875" style="161" hidden="1" customWidth="1"/>
    <col min="60" max="60" width="12.140625" style="186" hidden="1" customWidth="1"/>
    <col min="61" max="61" width="9.85546875" style="117" hidden="1" customWidth="1"/>
    <col min="62" max="62" width="11.140625" style="161" hidden="1" customWidth="1"/>
    <col min="63" max="63" width="13.85546875" style="231" hidden="1" customWidth="1"/>
    <col min="64" max="65" width="9.140625" style="117" hidden="1" customWidth="1"/>
    <col min="66" max="66" width="43" style="117" hidden="1" customWidth="1"/>
    <col min="67" max="68" width="22.7109375" style="117" hidden="1" customWidth="1"/>
    <col min="69" max="69" width="14" style="117" hidden="1" customWidth="1"/>
    <col min="70" max="70" width="13.42578125" style="117" hidden="1" customWidth="1"/>
    <col min="71" max="71" width="9.140625" style="117" hidden="1" customWidth="1"/>
    <col min="72" max="72" width="9.140625" style="161" hidden="1" customWidth="1"/>
    <col min="73" max="73" width="18.5703125" style="161" hidden="1" customWidth="1"/>
    <col min="74" max="74" width="25.5703125" style="161" hidden="1" customWidth="1"/>
    <col min="75" max="85" width="3.42578125" style="161" hidden="1" customWidth="1"/>
    <col min="86" max="114" width="3.42578125" customWidth="1"/>
    <col min="115" max="115" width="11" customWidth="1"/>
  </cols>
  <sheetData>
    <row r="1" spans="2:85" ht="9" customHeight="1" thickBot="1" x14ac:dyDescent="0.3"/>
    <row r="2" spans="2:85" ht="24" customHeight="1" thickBot="1" x14ac:dyDescent="0.3">
      <c r="B2"/>
      <c r="C2"/>
      <c r="D2"/>
      <c r="E2" s="319" t="s">
        <v>33</v>
      </c>
      <c r="F2" s="320"/>
      <c r="G2" s="320"/>
      <c r="H2" s="320"/>
      <c r="I2" s="320"/>
      <c r="J2" s="320"/>
      <c r="K2" s="320"/>
      <c r="L2"/>
      <c r="M2"/>
      <c r="N2"/>
      <c r="O2" s="161"/>
      <c r="P2" s="161"/>
      <c r="Q2" s="161"/>
      <c r="R2" s="161"/>
      <c r="S2" s="161"/>
      <c r="T2" s="161"/>
      <c r="U2" s="161"/>
      <c r="V2" s="161"/>
      <c r="W2" s="161"/>
      <c r="X2" s="161"/>
      <c r="Y2" s="161"/>
      <c r="Z2" s="161"/>
      <c r="AA2" s="161"/>
      <c r="AB2" s="161"/>
      <c r="AC2" s="161"/>
      <c r="AD2" s="161"/>
      <c r="AE2" s="161"/>
      <c r="AF2" s="161"/>
      <c r="AG2" s="117"/>
      <c r="AH2" s="161"/>
      <c r="AI2" s="161"/>
      <c r="AJ2" s="161"/>
      <c r="AK2" s="161"/>
      <c r="AL2" s="161"/>
      <c r="AM2" s="161"/>
      <c r="AN2" s="161"/>
      <c r="AO2" s="161"/>
      <c r="AP2" s="161"/>
      <c r="AQ2" s="161"/>
      <c r="AR2" s="161"/>
      <c r="BQ2" s="162"/>
      <c r="BR2" s="161"/>
      <c r="BS2" s="161"/>
    </row>
    <row r="3" spans="2:85" ht="19.5" customHeight="1" x14ac:dyDescent="0.25">
      <c r="B3"/>
      <c r="C3"/>
      <c r="D3"/>
      <c r="E3"/>
      <c r="F3"/>
      <c r="G3" s="92" t="s">
        <v>57</v>
      </c>
      <c r="H3" s="92"/>
      <c r="I3" s="93" t="e">
        <f>VLOOKUP(F6,$BF$22:$BR$42,10,FALSE)</f>
        <v>#N/A</v>
      </c>
      <c r="J3"/>
      <c r="K3"/>
      <c r="L3"/>
      <c r="M3"/>
      <c r="N3"/>
      <c r="O3" s="161"/>
      <c r="P3" s="161"/>
      <c r="Q3" s="161"/>
      <c r="R3" s="161"/>
      <c r="S3" s="161"/>
      <c r="T3" s="161"/>
      <c r="U3" s="161"/>
      <c r="V3" s="161"/>
      <c r="W3" s="161"/>
      <c r="X3" s="161"/>
      <c r="Y3" s="161"/>
      <c r="Z3" s="161"/>
      <c r="AA3" s="161"/>
      <c r="AB3" s="161"/>
      <c r="AC3" s="161"/>
      <c r="AD3" s="161"/>
      <c r="AE3" s="161"/>
      <c r="AF3" s="161"/>
      <c r="AG3" s="117"/>
      <c r="AH3" s="161"/>
      <c r="AI3" s="161"/>
      <c r="AJ3" s="161"/>
      <c r="AK3" s="161"/>
      <c r="AL3" s="161"/>
      <c r="AM3" s="161"/>
      <c r="AN3" s="161"/>
      <c r="AO3" s="161"/>
      <c r="AP3" s="161"/>
      <c r="AQ3" s="161"/>
      <c r="AR3" s="161"/>
      <c r="BQ3" s="162"/>
      <c r="BR3" s="161"/>
      <c r="BS3" s="161"/>
    </row>
    <row r="5" spans="2:85" ht="48.75" customHeight="1" thickBot="1" x14ac:dyDescent="0.3">
      <c r="B5"/>
      <c r="C5"/>
      <c r="D5" s="3"/>
      <c r="E5"/>
      <c r="F5"/>
      <c r="G5"/>
      <c r="H5"/>
      <c r="I5"/>
      <c r="J5" s="8"/>
      <c r="K5"/>
      <c r="L5"/>
      <c r="M5"/>
      <c r="N5"/>
      <c r="O5" s="161"/>
      <c r="P5" s="161"/>
      <c r="Q5" s="161"/>
      <c r="R5" s="232"/>
      <c r="S5" s="166"/>
      <c r="T5" s="161"/>
      <c r="U5" s="161"/>
      <c r="V5" s="161"/>
      <c r="W5" s="161"/>
      <c r="X5" s="161"/>
      <c r="Y5" s="161"/>
      <c r="Z5" s="161"/>
      <c r="AA5" s="161"/>
      <c r="AB5" s="161"/>
      <c r="AC5" s="161"/>
      <c r="AD5" s="161"/>
      <c r="AE5" s="161"/>
      <c r="AF5" s="161"/>
      <c r="AG5" s="186">
        <f>VLOOKUP(F6,$BU:$BV,2,FALSE)</f>
        <v>53</v>
      </c>
      <c r="AH5" s="161">
        <f>AG5/30</f>
        <v>1.7666666666666666</v>
      </c>
      <c r="AI5" s="161"/>
      <c r="AJ5" s="161"/>
      <c r="AK5" s="161"/>
      <c r="AL5" s="161"/>
      <c r="AM5" s="161"/>
      <c r="AN5" s="161"/>
      <c r="AO5" s="161"/>
      <c r="AP5" s="117"/>
      <c r="AQ5" s="117"/>
      <c r="BF5" s="161" t="s">
        <v>34</v>
      </c>
      <c r="BG5" s="171">
        <v>1.2800000000000001E-2</v>
      </c>
    </row>
    <row r="6" spans="2:85" ht="23.25" customHeight="1" thickTop="1" thickBot="1" x14ac:dyDescent="0.3">
      <c r="B6"/>
      <c r="C6"/>
      <c r="D6"/>
      <c r="E6" s="148" t="s">
        <v>63</v>
      </c>
      <c r="F6" s="35" t="s">
        <v>51</v>
      </c>
      <c r="G6"/>
      <c r="H6" s="308">
        <f ca="1">'CALCULAR SALDO APROXIMADO '!G8</f>
        <v>45169</v>
      </c>
      <c r="I6" s="309"/>
      <c r="J6"/>
      <c r="K6"/>
      <c r="L6"/>
      <c r="M6"/>
      <c r="N6"/>
      <c r="O6" s="161"/>
      <c r="P6" s="161"/>
      <c r="Q6" s="161"/>
      <c r="R6" s="161"/>
      <c r="S6" s="161"/>
      <c r="T6" s="161"/>
      <c r="U6" s="161"/>
      <c r="V6" s="161"/>
      <c r="W6" s="161"/>
      <c r="X6" s="161"/>
      <c r="Y6" s="161"/>
      <c r="Z6" s="161"/>
      <c r="AA6" s="161"/>
      <c r="AB6" s="161"/>
      <c r="AC6" s="161"/>
      <c r="AD6" s="161"/>
      <c r="AE6" s="161"/>
      <c r="AF6" s="161"/>
      <c r="AG6" s="117"/>
      <c r="AH6" s="161"/>
      <c r="AI6" s="161"/>
      <c r="AJ6" s="161"/>
      <c r="AK6" s="161"/>
      <c r="AL6" s="161"/>
      <c r="AM6" s="161"/>
      <c r="AN6" s="161"/>
      <c r="AO6" s="161"/>
      <c r="AP6" s="161"/>
      <c r="AQ6" s="161"/>
      <c r="AR6" s="161"/>
      <c r="BF6" s="161" t="s">
        <v>35</v>
      </c>
      <c r="BG6" s="171">
        <v>1.4500000000000001E-2</v>
      </c>
      <c r="BQ6" s="162"/>
      <c r="BR6" s="161"/>
      <c r="BS6" s="161"/>
    </row>
    <row r="7" spans="2:85" ht="8.25" customHeight="1" thickTop="1" x14ac:dyDescent="0.25">
      <c r="B7"/>
      <c r="C7"/>
      <c r="D7"/>
      <c r="L7" s="19"/>
      <c r="M7"/>
      <c r="N7"/>
      <c r="O7" s="161"/>
      <c r="P7" s="170"/>
      <c r="Q7" s="161"/>
      <c r="R7" s="161"/>
      <c r="S7" s="161"/>
      <c r="T7" s="163">
        <f>VLOOKUP(F6,$BF$22:$BS$600,14,FALSE)</f>
        <v>2.9999999999999997E-4</v>
      </c>
      <c r="U7" s="161"/>
      <c r="V7" s="161"/>
      <c r="W7" s="161"/>
      <c r="Y7" s="161"/>
      <c r="Z7" s="161"/>
      <c r="AA7" s="161"/>
      <c r="AB7" s="161"/>
      <c r="AC7" s="168"/>
      <c r="AD7" s="168"/>
      <c r="AE7" s="168"/>
      <c r="AF7" s="168"/>
      <c r="AG7" s="233"/>
      <c r="AH7" s="168"/>
      <c r="AI7" s="168"/>
      <c r="AJ7" s="168"/>
      <c r="AK7" s="168"/>
      <c r="AL7" s="168"/>
      <c r="AM7" s="168"/>
      <c r="AN7" s="161"/>
      <c r="AO7" s="161"/>
      <c r="AP7" s="117"/>
      <c r="AQ7" s="117"/>
      <c r="BF7" s="161" t="s">
        <v>37</v>
      </c>
      <c r="BG7" s="171">
        <v>1.4999999999999999E-2</v>
      </c>
    </row>
    <row r="8" spans="2:85" ht="7.5" customHeight="1" thickBot="1" x14ac:dyDescent="0.3">
      <c r="B8"/>
      <c r="C8"/>
      <c r="D8" s="3"/>
      <c r="E8" s="3"/>
      <c r="F8" s="3"/>
      <c r="G8" s="3"/>
      <c r="H8" s="3"/>
      <c r="I8" s="3"/>
      <c r="J8" s="3"/>
      <c r="K8" s="3"/>
      <c r="L8" s="3"/>
      <c r="M8"/>
      <c r="N8"/>
      <c r="O8" s="161"/>
      <c r="P8" s="164"/>
      <c r="Q8" s="161"/>
      <c r="R8" s="165"/>
      <c r="S8" s="166"/>
      <c r="T8" s="164">
        <f ca="1">$H$6</f>
        <v>45169</v>
      </c>
      <c r="U8" s="161"/>
      <c r="V8" s="161"/>
      <c r="W8" s="161" t="s">
        <v>49</v>
      </c>
      <c r="X8" s="163">
        <f>VLOOKUP(F6,BF22:BR187,13,0)</f>
        <v>1.9099999999999999E-2</v>
      </c>
      <c r="Y8" s="161"/>
      <c r="Z8" s="161"/>
      <c r="AA8" s="161"/>
      <c r="AB8" s="161"/>
      <c r="AC8" s="161" t="s">
        <v>9</v>
      </c>
      <c r="AD8" s="161"/>
      <c r="AE8" s="161"/>
      <c r="AF8" s="161"/>
      <c r="AG8" s="117" t="s">
        <v>10</v>
      </c>
      <c r="AH8" s="161"/>
      <c r="AI8" s="161"/>
      <c r="AJ8" s="161"/>
      <c r="AK8" s="161" t="s">
        <v>11</v>
      </c>
      <c r="AL8" s="161"/>
      <c r="AM8" s="161"/>
      <c r="AN8" s="161"/>
      <c r="AO8" s="161"/>
      <c r="AP8" s="161"/>
      <c r="AQ8" s="161"/>
      <c r="AR8" s="161"/>
      <c r="BF8" s="161" t="s">
        <v>51</v>
      </c>
      <c r="BG8" s="171">
        <v>1.15E-2</v>
      </c>
      <c r="BQ8" s="162"/>
      <c r="BR8" s="161"/>
      <c r="BS8" s="161"/>
    </row>
    <row r="9" spans="2:85" hidden="1" x14ac:dyDescent="0.25">
      <c r="B9"/>
      <c r="C9"/>
      <c r="D9"/>
      <c r="J9"/>
      <c r="K9"/>
      <c r="L9"/>
      <c r="M9"/>
      <c r="N9"/>
      <c r="O9" s="161"/>
      <c r="P9" s="164"/>
      <c r="Q9" s="161"/>
      <c r="R9" s="161"/>
      <c r="T9" s="161"/>
      <c r="U9" s="234"/>
      <c r="V9" s="161"/>
      <c r="W9" s="161" t="s">
        <v>50</v>
      </c>
      <c r="X9" s="235">
        <f>VLOOKUP(F6,BF22:BL232,7,0)</f>
        <v>10</v>
      </c>
      <c r="Y9" s="161"/>
      <c r="Z9" s="161"/>
      <c r="AA9" s="161"/>
      <c r="AB9" s="161"/>
      <c r="AC9" s="317" t="s">
        <v>12</v>
      </c>
      <c r="AD9" s="317"/>
      <c r="AE9" s="315"/>
      <c r="AF9" s="168"/>
      <c r="AG9" s="315" t="s">
        <v>13</v>
      </c>
      <c r="AH9" s="315"/>
      <c r="AI9" s="315"/>
      <c r="AJ9" s="168"/>
      <c r="AK9" s="315" t="s">
        <v>14</v>
      </c>
      <c r="AL9" s="315"/>
      <c r="AM9" s="315"/>
      <c r="AN9" s="161"/>
      <c r="AO9" s="161"/>
      <c r="AP9" s="117"/>
      <c r="AQ9" s="117"/>
      <c r="BF9" s="161" t="s">
        <v>36</v>
      </c>
      <c r="BG9" s="171">
        <v>1.5900000000000001E-2</v>
      </c>
    </row>
    <row r="10" spans="2:85" hidden="1" x14ac:dyDescent="0.25">
      <c r="B10"/>
      <c r="C10"/>
      <c r="D10"/>
      <c r="E10" s="36">
        <f t="shared" ref="E10:N10" ca="1" si="0">$AM$15</f>
        <v>1.8628653770972781E-2</v>
      </c>
      <c r="F10" s="36">
        <f t="shared" ca="1" si="0"/>
        <v>1.8628653770972781E-2</v>
      </c>
      <c r="G10" s="36">
        <f t="shared" ca="1" si="0"/>
        <v>1.8628653770972781E-2</v>
      </c>
      <c r="H10" s="36">
        <f t="shared" ca="1" si="0"/>
        <v>1.8628653770972781E-2</v>
      </c>
      <c r="I10" s="36">
        <f t="shared" ca="1" si="0"/>
        <v>1.8628653770972781E-2</v>
      </c>
      <c r="J10" s="36">
        <f t="shared" ca="1" si="0"/>
        <v>1.8628653770972781E-2</v>
      </c>
      <c r="K10" s="36">
        <f t="shared" ca="1" si="0"/>
        <v>1.8628653770972781E-2</v>
      </c>
      <c r="L10" s="36">
        <f t="shared" ca="1" si="0"/>
        <v>1.8628653770972781E-2</v>
      </c>
      <c r="M10" s="36">
        <f t="shared" ca="1" si="0"/>
        <v>1.8628653770972781E-2</v>
      </c>
      <c r="N10" s="36">
        <f t="shared" ca="1" si="0"/>
        <v>1.8628653770972781E-2</v>
      </c>
      <c r="O10" s="161"/>
      <c r="P10" s="161"/>
      <c r="X10" s="174">
        <f ca="1">IF(DAY(AE10)&gt;=X9,EDATE(AE10-DAY(AE10)+X9,1),EDATE(AE10-DAY(AE10)+X9,0))</f>
        <v>45179</v>
      </c>
      <c r="AB10" s="161"/>
      <c r="AC10" s="236" t="s">
        <v>15</v>
      </c>
      <c r="AD10" s="237"/>
      <c r="AE10" s="238">
        <f ca="1">H6</f>
        <v>45169</v>
      </c>
      <c r="AF10" s="168"/>
      <c r="AG10" s="239" t="s">
        <v>15</v>
      </c>
      <c r="AH10" s="237"/>
      <c r="AI10" s="240">
        <f ca="1">AE10</f>
        <v>45169</v>
      </c>
      <c r="AJ10" s="168"/>
      <c r="AK10" s="241" t="s">
        <v>15</v>
      </c>
      <c r="AL10" s="242"/>
      <c r="AM10" s="240">
        <f ca="1">AI10</f>
        <v>45169</v>
      </c>
      <c r="AN10" s="161"/>
    </row>
    <row r="11" spans="2:85" ht="18.75" hidden="1" customHeight="1" x14ac:dyDescent="0.25">
      <c r="B11"/>
      <c r="C11"/>
      <c r="D11"/>
      <c r="E11" s="37">
        <f t="shared" ref="E11:N11" si="1">MIN($G$28:$G$34)</f>
        <v>1.6500000000000001E-2</v>
      </c>
      <c r="F11" s="37">
        <f t="shared" si="1"/>
        <v>1.6500000000000001E-2</v>
      </c>
      <c r="G11" s="37">
        <f t="shared" si="1"/>
        <v>1.6500000000000001E-2</v>
      </c>
      <c r="H11" s="37">
        <f t="shared" si="1"/>
        <v>1.6500000000000001E-2</v>
      </c>
      <c r="I11" s="37">
        <f t="shared" si="1"/>
        <v>1.6500000000000001E-2</v>
      </c>
      <c r="J11" s="37">
        <f t="shared" si="1"/>
        <v>1.6500000000000001E-2</v>
      </c>
      <c r="K11" s="37">
        <f t="shared" si="1"/>
        <v>1.6500000000000001E-2</v>
      </c>
      <c r="L11" s="37">
        <f t="shared" si="1"/>
        <v>1.6500000000000001E-2</v>
      </c>
      <c r="M11" s="37">
        <f t="shared" si="1"/>
        <v>1.6500000000000001E-2</v>
      </c>
      <c r="N11" s="37">
        <f t="shared" si="1"/>
        <v>1.6500000000000001E-2</v>
      </c>
      <c r="O11" s="161"/>
      <c r="P11" s="164"/>
      <c r="AB11" s="161"/>
      <c r="AC11" s="243" t="s">
        <v>16</v>
      </c>
      <c r="AD11" s="244"/>
      <c r="AE11" s="245">
        <f ca="1">X10</f>
        <v>45179</v>
      </c>
      <c r="AF11" s="168"/>
      <c r="AG11" s="246" t="s">
        <v>16</v>
      </c>
      <c r="AH11" s="244"/>
      <c r="AI11" s="247">
        <f ca="1">EDATE(AE11,0)</f>
        <v>45179</v>
      </c>
      <c r="AJ11" s="168"/>
      <c r="AK11" s="236" t="s">
        <v>16</v>
      </c>
      <c r="AL11" s="237"/>
      <c r="AM11" s="247">
        <f ca="1">AI11</f>
        <v>45179</v>
      </c>
      <c r="AN11" s="161"/>
    </row>
    <row r="12" spans="2:85" ht="18.75" hidden="1" customHeight="1" thickBot="1" x14ac:dyDescent="0.3">
      <c r="B12"/>
      <c r="C12"/>
      <c r="D12"/>
      <c r="E12"/>
      <c r="F12"/>
      <c r="G12"/>
      <c r="H12"/>
      <c r="I12"/>
      <c r="J12"/>
      <c r="K12"/>
      <c r="L12"/>
      <c r="M12"/>
      <c r="N12"/>
      <c r="O12" s="248"/>
      <c r="P12" s="161"/>
      <c r="AB12" s="161"/>
      <c r="AC12" s="312" t="s">
        <v>7</v>
      </c>
      <c r="AD12" s="312"/>
      <c r="AE12" s="249">
        <f ca="1">O20</f>
        <v>2588.86</v>
      </c>
      <c r="AF12" s="168"/>
      <c r="AG12" s="312" t="s">
        <v>17</v>
      </c>
      <c r="AH12" s="312"/>
      <c r="AI12" s="197">
        <f ca="1">-AI18</f>
        <v>26131.602186009935</v>
      </c>
      <c r="AJ12" s="168"/>
      <c r="AK12" s="312" t="s">
        <v>18</v>
      </c>
      <c r="AL12" s="312"/>
      <c r="AM12" s="197">
        <f ca="1">AE12+AI12</f>
        <v>28720.462186009936</v>
      </c>
      <c r="AN12" s="161"/>
    </row>
    <row r="13" spans="2:85" s="19" customFormat="1" ht="18.75" customHeight="1" thickBot="1" x14ac:dyDescent="0.3">
      <c r="C13" s="306" t="s">
        <v>64</v>
      </c>
      <c r="D13" s="307"/>
      <c r="E13" s="16">
        <v>1</v>
      </c>
      <c r="F13" s="16">
        <v>2</v>
      </c>
      <c r="G13" s="16">
        <v>3</v>
      </c>
      <c r="H13" s="16">
        <v>4</v>
      </c>
      <c r="I13" s="16">
        <v>5</v>
      </c>
      <c r="J13" s="16">
        <v>6</v>
      </c>
      <c r="K13" s="16">
        <v>7</v>
      </c>
      <c r="L13" s="16">
        <v>8</v>
      </c>
      <c r="M13" s="16">
        <v>9</v>
      </c>
      <c r="N13" s="16">
        <v>10</v>
      </c>
      <c r="O13" s="176"/>
      <c r="P13" s="176"/>
      <c r="Q13" s="176"/>
      <c r="R13" s="176"/>
      <c r="S13" s="176"/>
      <c r="T13" s="176"/>
      <c r="U13" s="176"/>
      <c r="V13" s="176"/>
      <c r="W13" s="176"/>
      <c r="X13" s="176"/>
      <c r="Y13" s="176"/>
      <c r="Z13" s="176"/>
      <c r="AA13" s="176"/>
      <c r="AB13" s="176"/>
      <c r="AC13" s="316" t="s">
        <v>19</v>
      </c>
      <c r="AD13" s="316"/>
      <c r="AE13" s="249">
        <f ca="1">L26</f>
        <v>56.62</v>
      </c>
      <c r="AF13" s="182"/>
      <c r="AG13" s="316" t="s">
        <v>20</v>
      </c>
      <c r="AH13" s="316"/>
      <c r="AI13" s="249">
        <f ca="1">$E$24</f>
        <v>676.41</v>
      </c>
      <c r="AJ13" s="182"/>
      <c r="AK13" s="316" t="s">
        <v>19</v>
      </c>
      <c r="AL13" s="316"/>
      <c r="AM13" s="197">
        <f ca="1">AI13</f>
        <v>676.41</v>
      </c>
      <c r="AN13" s="176"/>
      <c r="AO13" s="176"/>
      <c r="AP13" s="186"/>
      <c r="AQ13" s="186"/>
      <c r="AR13" s="186"/>
      <c r="AS13" s="176"/>
      <c r="AT13" s="176"/>
      <c r="AU13" s="176"/>
      <c r="AV13" s="176"/>
      <c r="AW13" s="176"/>
      <c r="AX13" s="176"/>
      <c r="AY13" s="176"/>
      <c r="AZ13" s="176"/>
      <c r="BA13" s="176"/>
      <c r="BB13" s="176"/>
      <c r="BC13" s="176"/>
      <c r="BD13" s="176"/>
      <c r="BE13" s="176"/>
      <c r="BF13" s="176"/>
      <c r="BG13" s="176"/>
      <c r="BH13" s="186"/>
      <c r="BI13" s="186"/>
      <c r="BJ13" s="176"/>
      <c r="BK13" s="119"/>
      <c r="BL13" s="186"/>
      <c r="BM13" s="186"/>
      <c r="BN13" s="186"/>
      <c r="BO13" s="186"/>
      <c r="BP13" s="186"/>
      <c r="BQ13" s="186"/>
      <c r="BR13" s="186"/>
      <c r="BS13" s="186"/>
      <c r="BT13" s="176"/>
      <c r="BU13" s="176"/>
      <c r="BV13" s="176"/>
      <c r="BW13" s="176"/>
      <c r="BX13" s="176"/>
      <c r="BY13" s="176"/>
      <c r="BZ13" s="176"/>
      <c r="CA13" s="176"/>
      <c r="CB13" s="176"/>
      <c r="CC13" s="176"/>
      <c r="CD13" s="176"/>
      <c r="CE13" s="176"/>
      <c r="CF13" s="176"/>
      <c r="CG13" s="176"/>
    </row>
    <row r="14" spans="2:85" ht="9" customHeight="1" thickBot="1" x14ac:dyDescent="0.3">
      <c r="B14"/>
      <c r="C14" s="9"/>
      <c r="D14" s="9"/>
      <c r="E14" s="9" t="s">
        <v>8</v>
      </c>
      <c r="F14" s="9" t="s">
        <v>8</v>
      </c>
      <c r="G14" s="9" t="s">
        <v>8</v>
      </c>
      <c r="H14" s="9" t="s">
        <v>8</v>
      </c>
      <c r="I14" s="9" t="s">
        <v>8</v>
      </c>
      <c r="J14" s="9" t="s">
        <v>8</v>
      </c>
      <c r="K14" s="9" t="s">
        <v>8</v>
      </c>
      <c r="L14" s="9" t="s">
        <v>8</v>
      </c>
      <c r="M14" s="9" t="s">
        <v>8</v>
      </c>
      <c r="N14" s="9" t="s">
        <v>8</v>
      </c>
      <c r="O14" s="161"/>
      <c r="P14" s="161"/>
      <c r="AB14" s="161"/>
      <c r="AC14" s="312" t="s">
        <v>21</v>
      </c>
      <c r="AD14" s="312"/>
      <c r="AE14" s="250">
        <f ca="1">$O$17</f>
        <v>69</v>
      </c>
      <c r="AF14" s="168"/>
      <c r="AG14" s="312" t="s">
        <v>21</v>
      </c>
      <c r="AH14" s="312"/>
      <c r="AI14" s="199">
        <f ca="1">AM14-AE14</f>
        <v>15</v>
      </c>
      <c r="AJ14" s="168"/>
      <c r="AK14" s="312" t="s">
        <v>21</v>
      </c>
      <c r="AL14" s="312"/>
      <c r="AM14" s="200">
        <f>VLOOKUP($F$6,$BF$22:$BJ$335,4,0)</f>
        <v>84</v>
      </c>
      <c r="AN14" s="161"/>
    </row>
    <row r="15" spans="2:85" s="19" customFormat="1" ht="18.75" hidden="1" customHeight="1" thickBot="1" x14ac:dyDescent="0.3">
      <c r="C15" s="321" t="s">
        <v>46</v>
      </c>
      <c r="D15" s="322"/>
      <c r="E15" s="83" t="str">
        <f ca="1">IF(E16="","",(IF(E11-0.03%&lt;=E10,"seguir","inviável")))</f>
        <v>seguir</v>
      </c>
      <c r="F15" s="83" t="str">
        <f t="shared" ref="F15:N15" si="2">IF(F16="","",(IF(F11-0.03%&lt;=F10,"seguir","inviável")))</f>
        <v/>
      </c>
      <c r="G15" s="83" t="str">
        <f t="shared" si="2"/>
        <v/>
      </c>
      <c r="H15" s="83"/>
      <c r="I15" s="83" t="str">
        <f t="shared" si="2"/>
        <v/>
      </c>
      <c r="J15" s="83" t="str">
        <f t="shared" si="2"/>
        <v/>
      </c>
      <c r="K15" s="83" t="str">
        <f t="shared" si="2"/>
        <v/>
      </c>
      <c r="L15" s="83" t="str">
        <f t="shared" si="2"/>
        <v/>
      </c>
      <c r="M15" s="83" t="str">
        <f t="shared" si="2"/>
        <v/>
      </c>
      <c r="N15" s="83" t="str">
        <f t="shared" si="2"/>
        <v/>
      </c>
      <c r="O15" s="176"/>
      <c r="P15" s="176"/>
      <c r="Q15" s="251"/>
      <c r="R15" s="251"/>
      <c r="S15" s="251"/>
      <c r="T15" s="251"/>
      <c r="U15" s="251"/>
      <c r="V15" s="251"/>
      <c r="W15" s="251"/>
      <c r="X15" s="251"/>
      <c r="Y15" s="251"/>
      <c r="Z15" s="251"/>
      <c r="AA15" s="251"/>
      <c r="AB15" s="176"/>
      <c r="AC15" s="316" t="s">
        <v>22</v>
      </c>
      <c r="AD15" s="316"/>
      <c r="AE15" s="252">
        <f ca="1">AE164</f>
        <v>1.2845283846982802E-2</v>
      </c>
      <c r="AF15" s="182"/>
      <c r="AG15" s="316" t="s">
        <v>23</v>
      </c>
      <c r="AH15" s="316"/>
      <c r="AI15" s="253">
        <f>X8</f>
        <v>1.9099999999999999E-2</v>
      </c>
      <c r="AJ15" s="182"/>
      <c r="AK15" s="316" t="s">
        <v>24</v>
      </c>
      <c r="AL15" s="316"/>
      <c r="AM15" s="254">
        <f ca="1">AM164</f>
        <v>1.8628653770972781E-2</v>
      </c>
      <c r="AN15" s="176"/>
      <c r="AO15" s="251"/>
      <c r="AP15" s="255"/>
      <c r="AQ15" s="255"/>
      <c r="AR15" s="186"/>
      <c r="AS15" s="176"/>
      <c r="AT15" s="176"/>
      <c r="AU15" s="176"/>
      <c r="AV15" s="176"/>
      <c r="AW15" s="176"/>
      <c r="AX15" s="176"/>
      <c r="AY15" s="176"/>
      <c r="AZ15" s="176"/>
      <c r="BA15" s="176"/>
      <c r="BB15" s="176"/>
      <c r="BC15" s="176"/>
      <c r="BD15" s="176"/>
      <c r="BE15" s="176"/>
      <c r="BF15" s="176"/>
      <c r="BG15" s="176"/>
      <c r="BH15" s="186"/>
      <c r="BI15" s="186"/>
      <c r="BJ15" s="176"/>
      <c r="BK15" s="119"/>
      <c r="BL15" s="186"/>
      <c r="BM15" s="186"/>
      <c r="BN15" s="186"/>
      <c r="BO15" s="186"/>
      <c r="BP15" s="186"/>
      <c r="BQ15" s="186"/>
      <c r="BR15" s="186"/>
      <c r="BS15" s="186"/>
      <c r="BT15" s="176"/>
      <c r="BU15" s="176"/>
      <c r="BV15" s="176"/>
      <c r="BW15" s="176"/>
      <c r="BX15" s="176"/>
      <c r="BY15" s="176"/>
      <c r="BZ15" s="176"/>
      <c r="CA15" s="176"/>
      <c r="CB15" s="176"/>
      <c r="CC15" s="176"/>
      <c r="CD15" s="176"/>
      <c r="CE15" s="176"/>
      <c r="CF15" s="176"/>
      <c r="CG15" s="176"/>
    </row>
    <row r="16" spans="2:85" ht="18.75" customHeight="1" thickBot="1" x14ac:dyDescent="0.3">
      <c r="B16" s="325" t="s">
        <v>92</v>
      </c>
      <c r="C16" s="323" t="s">
        <v>1</v>
      </c>
      <c r="D16" s="323"/>
      <c r="E16" s="149">
        <v>2588.86</v>
      </c>
      <c r="F16" s="149"/>
      <c r="G16" s="149"/>
      <c r="H16" s="80"/>
      <c r="I16" s="80"/>
      <c r="J16" s="80"/>
      <c r="K16" s="80"/>
      <c r="L16" s="80"/>
      <c r="M16" s="80"/>
      <c r="N16" s="80"/>
      <c r="O16" s="205">
        <f ca="1">SUMIF(E21:N21,1,E16:N16)</f>
        <v>2588.86</v>
      </c>
      <c r="P16" s="161"/>
      <c r="AB16" s="161"/>
      <c r="AC16" s="168"/>
      <c r="AD16" s="168"/>
      <c r="AE16" s="168"/>
      <c r="AF16" s="168"/>
      <c r="AG16" s="233"/>
      <c r="AH16" s="168"/>
      <c r="AI16" s="168"/>
      <c r="AJ16" s="168"/>
      <c r="AK16" s="168"/>
      <c r="AL16" s="168"/>
      <c r="AM16" s="168"/>
      <c r="AN16" s="161"/>
    </row>
    <row r="17" spans="2:115" ht="18.75" customHeight="1" thickBot="1" x14ac:dyDescent="0.3">
      <c r="B17" s="326"/>
      <c r="C17" s="323" t="s">
        <v>66</v>
      </c>
      <c r="D17" s="323"/>
      <c r="E17" s="150">
        <v>69</v>
      </c>
      <c r="F17" s="150"/>
      <c r="G17" s="150"/>
      <c r="H17" s="44"/>
      <c r="I17" s="44"/>
      <c r="J17" s="44"/>
      <c r="K17" s="44"/>
      <c r="L17" s="44"/>
      <c r="M17" s="44"/>
      <c r="N17" s="44"/>
      <c r="O17" s="205">
        <f ca="1">SUMPRODUCT(E17:N17,$E$16:$N$16)/O16</f>
        <v>69</v>
      </c>
      <c r="P17" s="161"/>
      <c r="S17" s="161" t="s">
        <v>2</v>
      </c>
      <c r="AB17" s="161"/>
      <c r="AC17" s="168"/>
      <c r="AD17" s="168"/>
      <c r="AE17" s="168"/>
      <c r="AF17" s="168"/>
      <c r="AG17" s="233"/>
      <c r="AH17" s="168"/>
      <c r="AI17" s="168"/>
      <c r="AJ17" s="168"/>
      <c r="AK17" s="168"/>
      <c r="AL17" s="168"/>
      <c r="AM17" s="168"/>
      <c r="AN17" s="161"/>
    </row>
    <row r="18" spans="2:115" ht="18.75" customHeight="1" thickBot="1" x14ac:dyDescent="0.3">
      <c r="B18" s="326"/>
      <c r="C18" s="323" t="s">
        <v>73</v>
      </c>
      <c r="D18" s="323"/>
      <c r="E18" s="149">
        <v>56.62</v>
      </c>
      <c r="F18" s="149"/>
      <c r="G18" s="149"/>
      <c r="H18" s="45"/>
      <c r="I18" s="45"/>
      <c r="J18" s="45"/>
      <c r="K18" s="45"/>
      <c r="L18" s="45"/>
      <c r="M18" s="45"/>
      <c r="N18" s="45"/>
      <c r="O18" s="248">
        <f ca="1">SUMIF(E21:N21,1,E18:N18)</f>
        <v>56.62</v>
      </c>
      <c r="P18" s="161"/>
      <c r="Q18" s="161">
        <v>0</v>
      </c>
      <c r="R18" s="256">
        <f ca="1">-E20</f>
        <v>-2588.86</v>
      </c>
      <c r="S18" s="256">
        <f t="shared" ref="S18:U18" si="3">-F20</f>
        <v>0</v>
      </c>
      <c r="T18" s="256">
        <f t="shared" si="3"/>
        <v>0</v>
      </c>
      <c r="U18" s="257">
        <f t="shared" si="3"/>
        <v>0</v>
      </c>
      <c r="V18" s="257">
        <f t="shared" ref="V18" si="4">-I20</f>
        <v>0</v>
      </c>
      <c r="W18" s="257">
        <f t="shared" ref="W18" si="5">-J20</f>
        <v>0</v>
      </c>
      <c r="X18" s="257">
        <f t="shared" ref="X18" si="6">-K20</f>
        <v>0</v>
      </c>
      <c r="Y18" s="257">
        <f t="shared" ref="Y18" si="7">-L20</f>
        <v>0</v>
      </c>
      <c r="Z18" s="257">
        <f t="shared" ref="Z18" si="8">-M20</f>
        <v>0</v>
      </c>
      <c r="AA18" s="257">
        <f t="shared" ref="AA18" si="9">-N20</f>
        <v>0</v>
      </c>
      <c r="AB18" s="161"/>
      <c r="AC18" s="168">
        <v>0</v>
      </c>
      <c r="AD18" s="213">
        <f ca="1">AE10</f>
        <v>45169</v>
      </c>
      <c r="AE18" s="258">
        <f ca="1">-AE12</f>
        <v>-2588.86</v>
      </c>
      <c r="AF18" s="168"/>
      <c r="AG18" s="233">
        <v>0</v>
      </c>
      <c r="AH18" s="213">
        <f ca="1">AI10</f>
        <v>45169</v>
      </c>
      <c r="AI18" s="258">
        <f ca="1">-SUM(AJ19:AJ162)</f>
        <v>-26131.602186009935</v>
      </c>
      <c r="AJ18" s="168"/>
      <c r="AK18" s="168">
        <v>0</v>
      </c>
      <c r="AL18" s="213">
        <f ca="1">AM10</f>
        <v>45169</v>
      </c>
      <c r="AM18" s="258">
        <f ca="1">-AM12</f>
        <v>-28720.462186009936</v>
      </c>
      <c r="AN18" s="161"/>
      <c r="AO18" s="161">
        <v>0</v>
      </c>
      <c r="AP18" s="259">
        <f t="shared" ref="AP18:AY18" si="10">-E16</f>
        <v>-2588.86</v>
      </c>
      <c r="AQ18" s="259">
        <f t="shared" si="10"/>
        <v>0</v>
      </c>
      <c r="AR18" s="259">
        <f t="shared" si="10"/>
        <v>0</v>
      </c>
      <c r="AS18" s="215">
        <f t="shared" si="10"/>
        <v>0</v>
      </c>
      <c r="AT18" s="215">
        <f t="shared" si="10"/>
        <v>0</v>
      </c>
      <c r="AU18" s="215">
        <f t="shared" si="10"/>
        <v>0</v>
      </c>
      <c r="AV18" s="215">
        <f t="shared" si="10"/>
        <v>0</v>
      </c>
      <c r="AW18" s="215">
        <f t="shared" si="10"/>
        <v>0</v>
      </c>
      <c r="AX18" s="215">
        <f t="shared" si="10"/>
        <v>0</v>
      </c>
      <c r="AY18" s="215">
        <f t="shared" si="10"/>
        <v>0</v>
      </c>
    </row>
    <row r="19" spans="2:115" ht="16.5" thickBot="1" x14ac:dyDescent="0.3">
      <c r="B19" s="326"/>
      <c r="C19" s="123" t="s">
        <v>27</v>
      </c>
      <c r="D19" s="40"/>
      <c r="E19" s="77">
        <f ca="1">IFERROR(IF(E16="","",AP164),0)</f>
        <v>1.2845283846982802E-2</v>
      </c>
      <c r="F19" s="77" t="str">
        <f t="shared" ref="F19:N19" si="11">IFERROR(IF(F16="","",AQ164),0)</f>
        <v/>
      </c>
      <c r="G19" s="77" t="str">
        <f t="shared" si="11"/>
        <v/>
      </c>
      <c r="H19" s="77" t="str">
        <f t="shared" si="11"/>
        <v/>
      </c>
      <c r="I19" s="77" t="str">
        <f t="shared" si="11"/>
        <v/>
      </c>
      <c r="J19" s="77" t="str">
        <f t="shared" si="11"/>
        <v/>
      </c>
      <c r="K19" s="77" t="str">
        <f t="shared" si="11"/>
        <v/>
      </c>
      <c r="L19" s="77" t="str">
        <f t="shared" si="11"/>
        <v/>
      </c>
      <c r="M19" s="77" t="str">
        <f t="shared" si="11"/>
        <v/>
      </c>
      <c r="N19" s="77" t="str">
        <f t="shared" si="11"/>
        <v/>
      </c>
      <c r="O19" s="248"/>
      <c r="P19" s="161"/>
      <c r="Q19" s="161">
        <v>1</v>
      </c>
      <c r="R19" s="161">
        <f>IF($Q19&lt;=E$17,E$18,0)</f>
        <v>56.62</v>
      </c>
      <c r="S19" s="161">
        <f>IF($Q19&lt;=F$17,F$18,0)</f>
        <v>0</v>
      </c>
      <c r="T19" s="161">
        <f t="shared" ref="T19:AA19" si="12">IF($Q19&lt;=G$17,G$18,0)</f>
        <v>0</v>
      </c>
      <c r="U19" s="161">
        <f t="shared" si="12"/>
        <v>0</v>
      </c>
      <c r="V19" s="161">
        <f t="shared" si="12"/>
        <v>0</v>
      </c>
      <c r="W19" s="161">
        <f t="shared" si="12"/>
        <v>0</v>
      </c>
      <c r="X19" s="161">
        <f t="shared" si="12"/>
        <v>0</v>
      </c>
      <c r="Y19" s="161">
        <f t="shared" si="12"/>
        <v>0</v>
      </c>
      <c r="Z19" s="161">
        <f t="shared" si="12"/>
        <v>0</v>
      </c>
      <c r="AA19" s="161">
        <f t="shared" si="12"/>
        <v>0</v>
      </c>
      <c r="AB19" s="161"/>
      <c r="AC19" s="168">
        <v>1</v>
      </c>
      <c r="AD19" s="213">
        <f ca="1">AE11</f>
        <v>45179</v>
      </c>
      <c r="AE19" s="260">
        <f t="shared" ref="AE19:AE50" si="13">SUM(R19:AA19)</f>
        <v>56.62</v>
      </c>
      <c r="AF19" s="168"/>
      <c r="AG19" s="233">
        <v>1</v>
      </c>
      <c r="AH19" s="213">
        <f ca="1">AI11</f>
        <v>45179</v>
      </c>
      <c r="AI19" s="260">
        <f ca="1">IF(AG19&gt;$AM$14,0,AM19-AE19)</f>
        <v>619.79</v>
      </c>
      <c r="AJ19" s="215">
        <f ca="1">AI19/(1+$AI$15)^((AH19-$AH$18)/30)</f>
        <v>615.89351461297883</v>
      </c>
      <c r="AK19" s="168">
        <v>1</v>
      </c>
      <c r="AL19" s="213">
        <f ca="1">AM11</f>
        <v>45179</v>
      </c>
      <c r="AM19" s="260">
        <f ca="1">IF(AK19&gt;$AM$14,0,$AM$13)</f>
        <v>676.41</v>
      </c>
      <c r="AN19" s="161"/>
      <c r="AO19" s="161">
        <v>1</v>
      </c>
      <c r="AP19" s="117">
        <f t="shared" ref="AP19:AP50" si="14">IF($Q19&lt;=E$17,E$18,0)</f>
        <v>56.62</v>
      </c>
      <c r="AQ19" s="117">
        <f t="shared" ref="AQ19:AQ50" si="15">IF($Q19&lt;=F$17,F$18,0)</f>
        <v>0</v>
      </c>
      <c r="AR19" s="117">
        <f t="shared" ref="AR19:AR50" si="16">IF($Q19&lt;=G$17,G$18,0)</f>
        <v>0</v>
      </c>
      <c r="AS19" s="161">
        <f t="shared" ref="AS19:AS50" si="17">IF($Q19&lt;=H$17,H$18,0)</f>
        <v>0</v>
      </c>
      <c r="AT19" s="161">
        <f t="shared" ref="AT19:AT50" si="18">IF($Q19&lt;=I$17,I$18,0)</f>
        <v>0</v>
      </c>
      <c r="AU19" s="161">
        <f t="shared" ref="AU19:AU50" si="19">IF($Q19&lt;=J$17,J$18,0)</f>
        <v>0</v>
      </c>
      <c r="AV19" s="161">
        <f t="shared" ref="AV19:AV50" si="20">IF($Q19&lt;=K$17,K$18,0)</f>
        <v>0</v>
      </c>
      <c r="AW19" s="161">
        <f t="shared" ref="AW19:AW50" si="21">IF($Q19&lt;=L$17,L$18,0)</f>
        <v>0</v>
      </c>
      <c r="AX19" s="161">
        <f t="shared" ref="AX19:AX50" si="22">IF($Q19&lt;=M$17,M$18,0)</f>
        <v>0</v>
      </c>
      <c r="AY19" s="161">
        <f t="shared" ref="AY19:AY50" si="23">IF($Q19&lt;=N$17,N$18,0)</f>
        <v>0</v>
      </c>
    </row>
    <row r="20" spans="2:115" s="129" customFormat="1" ht="25.5" customHeight="1" thickBot="1" x14ac:dyDescent="0.3">
      <c r="B20" s="327"/>
      <c r="C20" s="332" t="s">
        <v>70</v>
      </c>
      <c r="D20" s="333"/>
      <c r="E20" s="128">
        <f t="shared" ref="E20:N20" ca="1" si="24">IF(OR(E19=0,E19=""),0,IF(E19&gt;=$X$8,E194,E16))</f>
        <v>2588.86</v>
      </c>
      <c r="F20" s="128">
        <f t="shared" si="24"/>
        <v>0</v>
      </c>
      <c r="G20" s="128">
        <f t="shared" si="24"/>
        <v>0</v>
      </c>
      <c r="H20" s="128">
        <f t="shared" si="24"/>
        <v>0</v>
      </c>
      <c r="I20" s="128">
        <f t="shared" si="24"/>
        <v>0</v>
      </c>
      <c r="J20" s="128">
        <f t="shared" si="24"/>
        <v>0</v>
      </c>
      <c r="K20" s="128">
        <f t="shared" si="24"/>
        <v>0</v>
      </c>
      <c r="L20" s="128">
        <f t="shared" si="24"/>
        <v>0</v>
      </c>
      <c r="M20" s="128">
        <f t="shared" si="24"/>
        <v>0</v>
      </c>
      <c r="N20" s="128">
        <f t="shared" si="24"/>
        <v>0</v>
      </c>
      <c r="O20" s="261">
        <f ca="1">SUMIF(E21:N21,1,E20:N20)</f>
        <v>2588.86</v>
      </c>
      <c r="P20" s="262"/>
      <c r="Q20" s="262">
        <v>2</v>
      </c>
      <c r="R20" s="262">
        <f t="shared" ref="R20:R24" si="25">IF($Q20&lt;=E$17,E$18,0)</f>
        <v>56.62</v>
      </c>
      <c r="S20" s="262">
        <f t="shared" ref="S20:S24" si="26">IF($Q20&lt;=F$17,F$18,0)</f>
        <v>0</v>
      </c>
      <c r="T20" s="262">
        <f t="shared" ref="T20:T24" si="27">IF($Q20&lt;=G$17,G$18,0)</f>
        <v>0</v>
      </c>
      <c r="U20" s="262">
        <f t="shared" ref="U20:U24" si="28">IF($Q20&lt;=H$17,H$18,0)</f>
        <v>0</v>
      </c>
      <c r="V20" s="262">
        <f t="shared" ref="V20:V24" si="29">IF($Q20&lt;=I$17,I$18,0)</f>
        <v>0</v>
      </c>
      <c r="W20" s="262">
        <f t="shared" ref="W20:W24" si="30">IF($Q20&lt;=J$17,J$18,0)</f>
        <v>0</v>
      </c>
      <c r="X20" s="262">
        <f t="shared" ref="X20:X24" si="31">IF($Q20&lt;=K$17,K$18,0)</f>
        <v>0</v>
      </c>
      <c r="Y20" s="262">
        <f t="shared" ref="Y20:Y24" si="32">IF($Q20&lt;=L$17,L$18,0)</f>
        <v>0</v>
      </c>
      <c r="Z20" s="262">
        <f t="shared" ref="Z20:Z24" si="33">IF($Q20&lt;=M$17,M$18,0)</f>
        <v>0</v>
      </c>
      <c r="AA20" s="262">
        <f t="shared" ref="AA20:AA24" si="34">IF($Q20&lt;=N$17,N$18,0)</f>
        <v>0</v>
      </c>
      <c r="AB20" s="262"/>
      <c r="AC20" s="263">
        <v>2</v>
      </c>
      <c r="AD20" s="264">
        <f ca="1">EDATE(AD19,1)</f>
        <v>45209</v>
      </c>
      <c r="AE20" s="265">
        <f t="shared" si="13"/>
        <v>56.62</v>
      </c>
      <c r="AF20" s="263"/>
      <c r="AG20" s="266">
        <v>2</v>
      </c>
      <c r="AH20" s="264">
        <f ca="1">EDATE(AH19,1)</f>
        <v>45209</v>
      </c>
      <c r="AI20" s="265">
        <f t="shared" ref="AI20:AI83" ca="1" si="35">IF(AG20&gt;$AM$14,0,AM20-AE20)</f>
        <v>619.79</v>
      </c>
      <c r="AJ20" s="267">
        <f t="shared" ref="AJ20:AJ83" ca="1" si="36">AI20/(1+$AI$15)^((AH20-$AH$18)/30)</f>
        <v>604.35042156116083</v>
      </c>
      <c r="AK20" s="263">
        <v>2</v>
      </c>
      <c r="AL20" s="264">
        <f ca="1">EDATE(AL19,1)</f>
        <v>45209</v>
      </c>
      <c r="AM20" s="265">
        <f t="shared" ref="AM20:AM83" ca="1" si="37">IF(AK20&gt;$AM$14,0,$AM$13)</f>
        <v>676.41</v>
      </c>
      <c r="AN20" s="262"/>
      <c r="AO20" s="262">
        <v>2</v>
      </c>
      <c r="AP20" s="268">
        <f t="shared" si="14"/>
        <v>56.62</v>
      </c>
      <c r="AQ20" s="268">
        <f t="shared" si="15"/>
        <v>0</v>
      </c>
      <c r="AR20" s="268">
        <f t="shared" si="16"/>
        <v>0</v>
      </c>
      <c r="AS20" s="262">
        <f t="shared" si="17"/>
        <v>0</v>
      </c>
      <c r="AT20" s="262">
        <f t="shared" si="18"/>
        <v>0</v>
      </c>
      <c r="AU20" s="262">
        <f t="shared" si="19"/>
        <v>0</v>
      </c>
      <c r="AV20" s="262">
        <f t="shared" si="20"/>
        <v>0</v>
      </c>
      <c r="AW20" s="262">
        <f t="shared" si="21"/>
        <v>0</v>
      </c>
      <c r="AX20" s="262">
        <f t="shared" si="22"/>
        <v>0</v>
      </c>
      <c r="AY20" s="262">
        <f t="shared" si="23"/>
        <v>0</v>
      </c>
      <c r="AZ20" s="262"/>
      <c r="BA20" s="262"/>
      <c r="BB20" s="262"/>
      <c r="BC20" s="262"/>
      <c r="BD20" s="262"/>
      <c r="BE20" s="262"/>
      <c r="BF20" s="262"/>
      <c r="BG20" s="262"/>
      <c r="BH20" s="268"/>
      <c r="BI20" s="268"/>
      <c r="BJ20" s="262"/>
      <c r="BK20" s="269"/>
      <c r="BL20" s="268"/>
      <c r="BM20" s="268"/>
      <c r="BN20" s="268"/>
      <c r="BO20" s="268"/>
      <c r="BP20" s="268"/>
      <c r="BQ20" s="268"/>
      <c r="BR20" s="268"/>
      <c r="BS20" s="268"/>
      <c r="BT20" s="262"/>
      <c r="BU20" s="262"/>
      <c r="BV20" s="262"/>
      <c r="BW20" s="262"/>
      <c r="BX20" s="262"/>
      <c r="BY20" s="262"/>
      <c r="BZ20" s="262"/>
      <c r="CA20" s="262"/>
      <c r="CB20" s="262"/>
      <c r="CC20" s="262"/>
      <c r="CD20" s="262"/>
      <c r="CE20" s="262"/>
      <c r="CF20" s="262"/>
      <c r="CG20" s="262"/>
    </row>
    <row r="21" spans="2:115" ht="5.25" customHeight="1" thickBot="1" x14ac:dyDescent="0.3">
      <c r="B21"/>
      <c r="E21" s="125">
        <f ca="1">IF(E19&gt;=($F$24-0.03%),1,0)</f>
        <v>1</v>
      </c>
      <c r="F21" s="125">
        <f t="shared" ref="F21:N21" si="38">IF(F19&gt;=($F$24-0.03%),1,0)</f>
        <v>1</v>
      </c>
      <c r="G21" s="125">
        <f t="shared" si="38"/>
        <v>1</v>
      </c>
      <c r="H21" s="125">
        <f t="shared" si="38"/>
        <v>1</v>
      </c>
      <c r="I21" s="125">
        <f t="shared" si="38"/>
        <v>1</v>
      </c>
      <c r="J21" s="125">
        <f t="shared" si="38"/>
        <v>1</v>
      </c>
      <c r="K21" s="125">
        <f t="shared" si="38"/>
        <v>1</v>
      </c>
      <c r="L21" s="125">
        <f t="shared" si="38"/>
        <v>1</v>
      </c>
      <c r="M21" s="125">
        <f t="shared" si="38"/>
        <v>1</v>
      </c>
      <c r="N21" s="125">
        <f t="shared" si="38"/>
        <v>1</v>
      </c>
      <c r="O21" s="216"/>
      <c r="P21" s="161"/>
      <c r="Q21" s="176">
        <v>3</v>
      </c>
      <c r="R21" s="161">
        <f t="shared" si="25"/>
        <v>56.62</v>
      </c>
      <c r="S21" s="161">
        <f t="shared" si="26"/>
        <v>0</v>
      </c>
      <c r="T21" s="161">
        <f t="shared" si="27"/>
        <v>0</v>
      </c>
      <c r="U21" s="161">
        <f t="shared" si="28"/>
        <v>0</v>
      </c>
      <c r="V21" s="161">
        <f t="shared" si="29"/>
        <v>0</v>
      </c>
      <c r="W21" s="161">
        <f t="shared" si="30"/>
        <v>0</v>
      </c>
      <c r="X21" s="161">
        <f t="shared" si="31"/>
        <v>0</v>
      </c>
      <c r="Y21" s="161">
        <f t="shared" si="32"/>
        <v>0</v>
      </c>
      <c r="Z21" s="161">
        <f t="shared" si="33"/>
        <v>0</v>
      </c>
      <c r="AA21" s="161">
        <f t="shared" si="34"/>
        <v>0</v>
      </c>
      <c r="AB21" s="161"/>
      <c r="AC21" s="168">
        <v>3</v>
      </c>
      <c r="AD21" s="213">
        <f ca="1">EDATE(AD20,1)</f>
        <v>45240</v>
      </c>
      <c r="AE21" s="260">
        <f t="shared" si="13"/>
        <v>56.62</v>
      </c>
      <c r="AF21" s="168"/>
      <c r="AG21" s="233">
        <v>3</v>
      </c>
      <c r="AH21" s="213">
        <f ca="1">EDATE(AH20,1)</f>
        <v>45240</v>
      </c>
      <c r="AI21" s="260">
        <f t="shared" ca="1" si="35"/>
        <v>619.79</v>
      </c>
      <c r="AJ21" s="215">
        <f t="shared" ca="1" si="36"/>
        <v>592.64978939802006</v>
      </c>
      <c r="AK21" s="168">
        <v>3</v>
      </c>
      <c r="AL21" s="213">
        <f ca="1">EDATE(AL20,1)</f>
        <v>45240</v>
      </c>
      <c r="AM21" s="260">
        <f t="shared" ca="1" si="37"/>
        <v>676.41</v>
      </c>
      <c r="AN21" s="161"/>
      <c r="AO21" s="176">
        <v>3</v>
      </c>
      <c r="AP21" s="117">
        <f t="shared" si="14"/>
        <v>56.62</v>
      </c>
      <c r="AQ21" s="117">
        <f t="shared" si="15"/>
        <v>0</v>
      </c>
      <c r="AR21" s="117">
        <f t="shared" si="16"/>
        <v>0</v>
      </c>
      <c r="AS21" s="161">
        <f t="shared" si="17"/>
        <v>0</v>
      </c>
      <c r="AT21" s="161">
        <f t="shared" si="18"/>
        <v>0</v>
      </c>
      <c r="AU21" s="161">
        <f t="shared" si="19"/>
        <v>0</v>
      </c>
      <c r="AV21" s="161">
        <f t="shared" si="20"/>
        <v>0</v>
      </c>
      <c r="AW21" s="161">
        <f t="shared" si="21"/>
        <v>0</v>
      </c>
      <c r="AX21" s="161">
        <f t="shared" si="22"/>
        <v>0</v>
      </c>
      <c r="AY21" s="161">
        <f t="shared" si="23"/>
        <v>0</v>
      </c>
    </row>
    <row r="22" spans="2:115" s="19" customFormat="1" ht="18.75" customHeight="1" thickBot="1" x14ac:dyDescent="0.3">
      <c r="B22" s="328" t="s">
        <v>91</v>
      </c>
      <c r="C22" s="330" t="s">
        <v>469</v>
      </c>
      <c r="D22" s="330"/>
      <c r="E22" s="149">
        <v>19900</v>
      </c>
      <c r="F22" s="122"/>
      <c r="G22" s="122"/>
      <c r="H22" s="122"/>
      <c r="I22" s="122"/>
      <c r="J22" s="122"/>
      <c r="K22" s="122"/>
      <c r="L22" s="122"/>
      <c r="M22" s="122"/>
      <c r="N22" s="122"/>
      <c r="O22" s="211">
        <f ca="1">SUMIF(E21:N21,1,E22:N22)</f>
        <v>19900</v>
      </c>
      <c r="P22" s="211" t="s">
        <v>25</v>
      </c>
      <c r="Q22" s="176">
        <v>4</v>
      </c>
      <c r="R22" s="176">
        <f t="shared" si="25"/>
        <v>56.62</v>
      </c>
      <c r="S22" s="176">
        <f t="shared" si="26"/>
        <v>0</v>
      </c>
      <c r="T22" s="176">
        <f t="shared" si="27"/>
        <v>0</v>
      </c>
      <c r="U22" s="176">
        <f t="shared" si="28"/>
        <v>0</v>
      </c>
      <c r="V22" s="176">
        <f t="shared" si="29"/>
        <v>0</v>
      </c>
      <c r="W22" s="176">
        <f t="shared" si="30"/>
        <v>0</v>
      </c>
      <c r="X22" s="176">
        <f t="shared" si="31"/>
        <v>0</v>
      </c>
      <c r="Y22" s="176">
        <f t="shared" si="32"/>
        <v>0</v>
      </c>
      <c r="Z22" s="176">
        <f t="shared" si="33"/>
        <v>0</v>
      </c>
      <c r="AA22" s="176">
        <f t="shared" si="34"/>
        <v>0</v>
      </c>
      <c r="AB22" s="176"/>
      <c r="AC22" s="182">
        <v>4</v>
      </c>
      <c r="AD22" s="206">
        <f t="shared" ref="AD22:AD85" ca="1" si="39">EDATE(AD21,1)</f>
        <v>45270</v>
      </c>
      <c r="AE22" s="270">
        <f t="shared" si="13"/>
        <v>56.62</v>
      </c>
      <c r="AF22" s="182"/>
      <c r="AG22" s="217">
        <v>4</v>
      </c>
      <c r="AH22" s="206">
        <f t="shared" ref="AH22:AH85" ca="1" si="40">EDATE(AH21,1)</f>
        <v>45270</v>
      </c>
      <c r="AI22" s="270">
        <f t="shared" ca="1" si="35"/>
        <v>619.79</v>
      </c>
      <c r="AJ22" s="178">
        <f t="shared" ca="1" si="36"/>
        <v>581.54233087824559</v>
      </c>
      <c r="AK22" s="182">
        <v>4</v>
      </c>
      <c r="AL22" s="206">
        <f t="shared" ref="AL22:AL85" ca="1" si="41">EDATE(AL21,1)</f>
        <v>45270</v>
      </c>
      <c r="AM22" s="270">
        <f t="shared" ca="1" si="37"/>
        <v>676.41</v>
      </c>
      <c r="AN22" s="176"/>
      <c r="AO22" s="176">
        <v>4</v>
      </c>
      <c r="AP22" s="186">
        <f t="shared" si="14"/>
        <v>56.62</v>
      </c>
      <c r="AQ22" s="186">
        <f t="shared" si="15"/>
        <v>0</v>
      </c>
      <c r="AR22" s="186">
        <f t="shared" si="16"/>
        <v>0</v>
      </c>
      <c r="AS22" s="176">
        <f t="shared" si="17"/>
        <v>0</v>
      </c>
      <c r="AT22" s="176">
        <f t="shared" si="18"/>
        <v>0</v>
      </c>
      <c r="AU22" s="176">
        <f t="shared" si="19"/>
        <v>0</v>
      </c>
      <c r="AV22" s="176">
        <f t="shared" si="20"/>
        <v>0</v>
      </c>
      <c r="AW22" s="176">
        <f t="shared" si="21"/>
        <v>0</v>
      </c>
      <c r="AX22" s="176">
        <f t="shared" si="22"/>
        <v>0</v>
      </c>
      <c r="AY22" s="176">
        <f t="shared" si="23"/>
        <v>0</v>
      </c>
      <c r="AZ22" s="176"/>
      <c r="BA22" s="176"/>
      <c r="BB22" s="176"/>
      <c r="BC22" s="176"/>
      <c r="BD22" s="176"/>
      <c r="BE22" s="176" t="s">
        <v>80</v>
      </c>
      <c r="BF22" s="63" t="str">
        <f>Consulta1[[#Headers],[EMPREGADOR]]</f>
        <v>EMPREGADOR</v>
      </c>
      <c r="BG22" s="63" t="str">
        <f>Consulta1[[#Headers],[TABELA]]</f>
        <v>TABELA</v>
      </c>
      <c r="BH22" s="63" t="str">
        <f>Consulta1[[#Headers],[TAXA]]</f>
        <v>TAXA</v>
      </c>
      <c r="BI22" s="63" t="str">
        <f>Consulta1[[#Headers],[PRAZO]]</f>
        <v>PRAZO</v>
      </c>
      <c r="BJ22" s="63" t="str">
        <f>Consulta1[[#Headers],[FATOR]]</f>
        <v>FATOR</v>
      </c>
      <c r="BK22" s="63" t="str">
        <f>Consulta1[[#Headers],[TETO_COMERCIAL]]</f>
        <v>TETO_COMERCIAL</v>
      </c>
      <c r="BL22" s="63" t="str">
        <f>Consulta1[[#Headers],[VCTO]]</f>
        <v>VCTO</v>
      </c>
      <c r="BM22" s="63" t="str">
        <f>Consulta1[[#Headers],[CARENCIA_FINAL]]</f>
        <v>CARENCIA_FINAL</v>
      </c>
      <c r="BN22" s="63" t="str">
        <f>Consulta1[[#Headers],[PMDESCRPRD]]</f>
        <v>PMDESCRPRD</v>
      </c>
      <c r="BO22" s="63" t="str">
        <f>Consulta1[[#Headers],[min_port]]</f>
        <v>min_port</v>
      </c>
      <c r="BP22" s="63" t="str">
        <f>Consulta1[[#Headers],[minport_%]]</f>
        <v>minport_%</v>
      </c>
      <c r="BQ22" s="63" t="s">
        <v>48</v>
      </c>
      <c r="BR22" s="63" t="s">
        <v>61</v>
      </c>
      <c r="BS22" s="186" t="s">
        <v>77</v>
      </c>
      <c r="BT22" s="176"/>
      <c r="BU22" s="271" t="s">
        <v>245</v>
      </c>
      <c r="BV22" s="161" t="s">
        <v>477</v>
      </c>
      <c r="BW22" s="161"/>
      <c r="BX22" s="161"/>
      <c r="BY22" s="161"/>
      <c r="BZ22" s="161"/>
      <c r="CA22" s="161"/>
      <c r="CB22" s="161"/>
      <c r="CC22" s="161"/>
      <c r="CD22" s="161"/>
      <c r="CE22" s="161"/>
      <c r="CF22" s="161"/>
      <c r="CG22" s="161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</row>
    <row r="23" spans="2:115" s="69" customFormat="1" ht="19.5" customHeight="1" thickBot="1" x14ac:dyDescent="0.3">
      <c r="B23" s="329"/>
      <c r="C23" s="330" t="s">
        <v>73</v>
      </c>
      <c r="D23" s="330"/>
      <c r="E23" s="149">
        <v>656.41</v>
      </c>
      <c r="F23" s="122"/>
      <c r="G23" s="122"/>
      <c r="H23" s="122"/>
      <c r="I23" s="122"/>
      <c r="J23" s="122"/>
      <c r="K23" s="122"/>
      <c r="L23" s="122"/>
      <c r="M23" s="122"/>
      <c r="N23" s="122"/>
      <c r="O23" s="272">
        <f ca="1">SUMIF(E21:N21,1,E23:N23)</f>
        <v>656.41</v>
      </c>
      <c r="P23" s="273"/>
      <c r="Q23" s="186">
        <v>5</v>
      </c>
      <c r="R23" s="186">
        <f t="shared" si="25"/>
        <v>56.62</v>
      </c>
      <c r="S23" s="186">
        <f t="shared" si="26"/>
        <v>0</v>
      </c>
      <c r="T23" s="186">
        <f t="shared" si="27"/>
        <v>0</v>
      </c>
      <c r="U23" s="186">
        <f t="shared" si="28"/>
        <v>0</v>
      </c>
      <c r="V23" s="186">
        <f t="shared" si="29"/>
        <v>0</v>
      </c>
      <c r="W23" s="186">
        <f t="shared" si="30"/>
        <v>0</v>
      </c>
      <c r="X23" s="186">
        <f t="shared" si="31"/>
        <v>0</v>
      </c>
      <c r="Y23" s="186">
        <f t="shared" si="32"/>
        <v>0</v>
      </c>
      <c r="Z23" s="186">
        <f t="shared" si="33"/>
        <v>0</v>
      </c>
      <c r="AA23" s="186">
        <f t="shared" si="34"/>
        <v>0</v>
      </c>
      <c r="AB23" s="186"/>
      <c r="AC23" s="217">
        <v>5</v>
      </c>
      <c r="AD23" s="274">
        <f t="shared" ca="1" si="39"/>
        <v>45301</v>
      </c>
      <c r="AE23" s="275">
        <f t="shared" si="13"/>
        <v>56.62</v>
      </c>
      <c r="AF23" s="217"/>
      <c r="AG23" s="217">
        <v>5</v>
      </c>
      <c r="AH23" s="274">
        <f t="shared" ca="1" si="40"/>
        <v>45301</v>
      </c>
      <c r="AI23" s="275">
        <f t="shared" ca="1" si="35"/>
        <v>619.79</v>
      </c>
      <c r="AJ23" s="276">
        <f t="shared" ca="1" si="36"/>
        <v>570.28327874864715</v>
      </c>
      <c r="AK23" s="217">
        <v>5</v>
      </c>
      <c r="AL23" s="274">
        <f t="shared" ca="1" si="41"/>
        <v>45301</v>
      </c>
      <c r="AM23" s="275">
        <f t="shared" ca="1" si="37"/>
        <v>676.41</v>
      </c>
      <c r="AN23" s="186"/>
      <c r="AO23" s="186">
        <v>5</v>
      </c>
      <c r="AP23" s="186">
        <f t="shared" si="14"/>
        <v>56.62</v>
      </c>
      <c r="AQ23" s="186">
        <f t="shared" si="15"/>
        <v>0</v>
      </c>
      <c r="AR23" s="186">
        <f t="shared" si="16"/>
        <v>0</v>
      </c>
      <c r="AS23" s="186">
        <f t="shared" si="17"/>
        <v>0</v>
      </c>
      <c r="AT23" s="186">
        <f t="shared" si="18"/>
        <v>0</v>
      </c>
      <c r="AU23" s="186">
        <f t="shared" si="19"/>
        <v>0</v>
      </c>
      <c r="AV23" s="186">
        <f t="shared" si="20"/>
        <v>0</v>
      </c>
      <c r="AW23" s="186">
        <f t="shared" si="21"/>
        <v>0</v>
      </c>
      <c r="AX23" s="186">
        <f t="shared" si="22"/>
        <v>0</v>
      </c>
      <c r="AY23" s="186">
        <f t="shared" si="23"/>
        <v>0</v>
      </c>
      <c r="AZ23" s="186"/>
      <c r="BA23" s="186"/>
      <c r="BB23" s="186"/>
      <c r="BC23" s="186"/>
      <c r="BD23" s="186" t="str">
        <f t="shared" ref="BD23:BD54" si="42">CONCATENATE(BE23,BF23)</f>
        <v>1AERONAUTICA</v>
      </c>
      <c r="BE23" s="186">
        <f t="shared" ref="BE23:BE54" si="43">IF(BF23=BF22,BE22+1,1)</f>
        <v>1</v>
      </c>
      <c r="BF23" s="209" t="str">
        <f>'Base tabelas'!A2</f>
        <v>AERONAUTICA</v>
      </c>
      <c r="BG23" s="209" t="str">
        <f>'Base tabelas'!B2</f>
        <v>795721 - Tabela 1</v>
      </c>
      <c r="BH23" s="209">
        <f>'Base tabelas'!C2</f>
        <v>1.9E-2</v>
      </c>
      <c r="BI23" s="209">
        <f>'Base tabelas'!D2</f>
        <v>96</v>
      </c>
      <c r="BJ23" s="209" t="str">
        <f>'Base tabelas'!E2</f>
        <v/>
      </c>
      <c r="BK23" s="209">
        <f>'Base tabelas'!F2</f>
        <v>2.1</v>
      </c>
      <c r="BL23" s="209">
        <f>'Base tabelas'!G2</f>
        <v>10</v>
      </c>
      <c r="BM23" s="209">
        <f>'Base tabelas'!H2</f>
        <v>50</v>
      </c>
      <c r="BN23" s="209" t="str">
        <f>'Base tabelas'!I2</f>
        <v>RFN-AERONAUTICA 1 DIG PORTAB</v>
      </c>
      <c r="BO23" s="209" t="str">
        <f>'Base tabelas'!J2</f>
        <v>1,3</v>
      </c>
      <c r="BP23" s="209">
        <f>'Base tabelas'!K2</f>
        <v>1.3000000000000001E-2</v>
      </c>
      <c r="BQ23" s="277">
        <f t="shared" ref="BQ23" si="44">(PMT(BH23,BI23,-1,0,0)*(BH23+1)^((BM23-30)/30))*1.03017</f>
        <v>2.3713243635123765E-2</v>
      </c>
      <c r="BR23" s="278">
        <f>BK23/100</f>
        <v>2.1000000000000001E-2</v>
      </c>
      <c r="BS23" s="279">
        <v>2.9999999999999997E-4</v>
      </c>
      <c r="BT23" s="186"/>
      <c r="BU23" s="118" t="s">
        <v>127</v>
      </c>
      <c r="BV23" s="161">
        <v>49.75</v>
      </c>
      <c r="BW23" s="161"/>
      <c r="BX23" s="161"/>
      <c r="BY23" s="161"/>
      <c r="BZ23" s="161"/>
      <c r="CA23" s="161"/>
      <c r="CB23" s="161"/>
      <c r="CC23" s="161"/>
      <c r="CD23" s="161"/>
      <c r="CE23" s="161"/>
      <c r="CF23" s="161"/>
      <c r="CG23" s="161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</row>
    <row r="24" spans="2:115" s="69" customFormat="1" ht="24" customHeight="1" thickBot="1" x14ac:dyDescent="0.3">
      <c r="C24" s="313" t="s">
        <v>72</v>
      </c>
      <c r="D24" s="331"/>
      <c r="E24" s="151">
        <f ca="1">IF($O$18=0,0,IF($O$23=0,$O$18+$E$25,$O$23+$E$25))</f>
        <v>676.41</v>
      </c>
      <c r="F24" s="144">
        <f>VLOOKUP(F6,$BF$22:$BP$600,11,FALSE)</f>
        <v>1.15E-2</v>
      </c>
      <c r="G24" s="70"/>
      <c r="H24" s="70"/>
      <c r="I24" s="70"/>
      <c r="J24" s="70"/>
      <c r="K24" s="70"/>
      <c r="L24" s="70"/>
      <c r="M24" s="70"/>
      <c r="N24" s="70"/>
      <c r="O24" s="255">
        <f>G29-0.03%</f>
        <v>1.8200000000000001E-2</v>
      </c>
      <c r="P24" s="273"/>
      <c r="Q24" s="186">
        <v>6</v>
      </c>
      <c r="R24" s="186">
        <f t="shared" si="25"/>
        <v>56.62</v>
      </c>
      <c r="S24" s="186">
        <f t="shared" si="26"/>
        <v>0</v>
      </c>
      <c r="T24" s="186">
        <f t="shared" si="27"/>
        <v>0</v>
      </c>
      <c r="U24" s="186">
        <f t="shared" si="28"/>
        <v>0</v>
      </c>
      <c r="V24" s="186">
        <f t="shared" si="29"/>
        <v>0</v>
      </c>
      <c r="W24" s="186">
        <f t="shared" si="30"/>
        <v>0</v>
      </c>
      <c r="X24" s="186">
        <f t="shared" si="31"/>
        <v>0</v>
      </c>
      <c r="Y24" s="186">
        <f t="shared" si="32"/>
        <v>0</v>
      </c>
      <c r="Z24" s="186">
        <f t="shared" si="33"/>
        <v>0</v>
      </c>
      <c r="AA24" s="186">
        <f t="shared" si="34"/>
        <v>0</v>
      </c>
      <c r="AB24" s="186"/>
      <c r="AC24" s="217">
        <v>6</v>
      </c>
      <c r="AD24" s="274">
        <f t="shared" ca="1" si="39"/>
        <v>45332</v>
      </c>
      <c r="AE24" s="275">
        <f t="shared" si="13"/>
        <v>56.62</v>
      </c>
      <c r="AF24" s="217"/>
      <c r="AG24" s="217">
        <v>6</v>
      </c>
      <c r="AH24" s="274">
        <f t="shared" ca="1" si="40"/>
        <v>45332</v>
      </c>
      <c r="AI24" s="275">
        <f t="shared" ca="1" si="35"/>
        <v>619.79</v>
      </c>
      <c r="AJ24" s="276">
        <f t="shared" ca="1" si="36"/>
        <v>559.24220946935236</v>
      </c>
      <c r="AK24" s="217">
        <v>6</v>
      </c>
      <c r="AL24" s="274">
        <f t="shared" ca="1" si="41"/>
        <v>45332</v>
      </c>
      <c r="AM24" s="275">
        <f t="shared" ca="1" si="37"/>
        <v>676.41</v>
      </c>
      <c r="AN24" s="186"/>
      <c r="AO24" s="186">
        <v>6</v>
      </c>
      <c r="AP24" s="186">
        <f t="shared" si="14"/>
        <v>56.62</v>
      </c>
      <c r="AQ24" s="186">
        <f t="shared" si="15"/>
        <v>0</v>
      </c>
      <c r="AR24" s="186">
        <f t="shared" si="16"/>
        <v>0</v>
      </c>
      <c r="AS24" s="186">
        <f t="shared" si="17"/>
        <v>0</v>
      </c>
      <c r="AT24" s="186">
        <f t="shared" si="18"/>
        <v>0</v>
      </c>
      <c r="AU24" s="186">
        <f t="shared" si="19"/>
        <v>0</v>
      </c>
      <c r="AV24" s="186">
        <f t="shared" si="20"/>
        <v>0</v>
      </c>
      <c r="AW24" s="186">
        <f t="shared" si="21"/>
        <v>0</v>
      </c>
      <c r="AX24" s="186">
        <f t="shared" si="22"/>
        <v>0</v>
      </c>
      <c r="AY24" s="186">
        <f t="shared" si="23"/>
        <v>0</v>
      </c>
      <c r="AZ24" s="186"/>
      <c r="BA24" s="186"/>
      <c r="BB24" s="186"/>
      <c r="BC24" s="186"/>
      <c r="BD24" s="186" t="str">
        <f t="shared" si="42"/>
        <v>2AERONAUTICA</v>
      </c>
      <c r="BE24" s="186">
        <f t="shared" si="43"/>
        <v>2</v>
      </c>
      <c r="BF24" s="209" t="str">
        <f>'Base tabelas'!A3</f>
        <v>AERONAUTICA</v>
      </c>
      <c r="BG24" s="209" t="str">
        <f>'Base tabelas'!B3</f>
        <v>795722 - Tabela 2</v>
      </c>
      <c r="BH24" s="209">
        <f>'Base tabelas'!C3</f>
        <v>1.8000000000000002E-2</v>
      </c>
      <c r="BI24" s="209">
        <f>'Base tabelas'!D3</f>
        <v>96</v>
      </c>
      <c r="BJ24" s="209" t="str">
        <f>'Base tabelas'!E3</f>
        <v/>
      </c>
      <c r="BK24" s="209">
        <f>'Base tabelas'!F3</f>
        <v>2.1</v>
      </c>
      <c r="BL24" s="209">
        <f>'Base tabelas'!G3</f>
        <v>10</v>
      </c>
      <c r="BM24" s="209">
        <f>'Base tabelas'!H3</f>
        <v>50</v>
      </c>
      <c r="BN24" s="209" t="str">
        <f>'Base tabelas'!I3</f>
        <v>RFN-AERONAUTICA 2 DIG PORTAB</v>
      </c>
      <c r="BO24" s="209" t="str">
        <f>'Base tabelas'!J3</f>
        <v>1,3</v>
      </c>
      <c r="BP24" s="209">
        <f>'Base tabelas'!K3</f>
        <v>1.3000000000000001E-2</v>
      </c>
      <c r="BQ24" s="277">
        <f t="shared" ref="BQ24:BQ25" si="45">(PMT(BH24,BI24,-1,0,0)*(BH24+1)^((BM24-30)/30))*1.03017</f>
        <v>2.2894940972034403E-2</v>
      </c>
      <c r="BR24" s="278">
        <f t="shared" ref="BR24:BR25" si="46">BK24/100</f>
        <v>2.1000000000000001E-2</v>
      </c>
      <c r="BS24" s="279">
        <v>2.9999999999999997E-4</v>
      </c>
      <c r="BT24" s="186"/>
      <c r="BU24" s="118" t="s">
        <v>129</v>
      </c>
      <c r="BV24" s="161">
        <v>52.5</v>
      </c>
      <c r="BW24" s="161"/>
      <c r="BX24" s="161"/>
      <c r="BY24" s="161"/>
      <c r="BZ24" s="161"/>
      <c r="CA24" s="161"/>
      <c r="CB24" s="161"/>
      <c r="CC24" s="161"/>
      <c r="CD24" s="161"/>
      <c r="CE24" s="161"/>
      <c r="CF24" s="161"/>
      <c r="CG24" s="161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</row>
    <row r="25" spans="2:115" ht="24" customHeight="1" thickBot="1" x14ac:dyDescent="0.3">
      <c r="B25"/>
      <c r="C25" s="301" t="s">
        <v>69</v>
      </c>
      <c r="D25" s="324"/>
      <c r="E25" s="152">
        <v>20</v>
      </c>
      <c r="F25" s="62"/>
      <c r="G25" s="318"/>
      <c r="H25" s="318"/>
      <c r="I25" s="318"/>
      <c r="J25" s="318"/>
      <c r="K25" s="62"/>
      <c r="L25" s="62"/>
      <c r="M25" s="62"/>
      <c r="N25" s="62"/>
      <c r="P25" s="171"/>
      <c r="Q25" s="161">
        <v>7</v>
      </c>
      <c r="R25" s="161">
        <f t="shared" ref="R25:R88" si="47">IF($Q25&lt;=E$17,E$18,0)</f>
        <v>56.62</v>
      </c>
      <c r="S25" s="161">
        <f t="shared" ref="S25:S88" si="48">IF($Q25&lt;=F$17,F$18,0)</f>
        <v>0</v>
      </c>
      <c r="T25" s="161">
        <f t="shared" ref="T25:T88" si="49">IF($Q25&lt;=G$17,G$18,0)</f>
        <v>0</v>
      </c>
      <c r="U25" s="161">
        <f t="shared" ref="U25:U88" si="50">IF($Q25&lt;=H$17,H$18,0)</f>
        <v>0</v>
      </c>
      <c r="V25" s="161">
        <f t="shared" ref="V25:V88" si="51">IF($Q25&lt;=I$17,I$18,0)</f>
        <v>0</v>
      </c>
      <c r="W25" s="161">
        <f t="shared" ref="W25:W88" si="52">IF($Q25&lt;=J$17,J$18,0)</f>
        <v>0</v>
      </c>
      <c r="X25" s="161">
        <f t="shared" ref="X25:X88" si="53">IF($Q25&lt;=K$17,K$18,0)</f>
        <v>0</v>
      </c>
      <c r="Y25" s="161">
        <f t="shared" ref="Y25:Y88" si="54">IF($Q25&lt;=L$17,L$18,0)</f>
        <v>0</v>
      </c>
      <c r="Z25" s="161">
        <f t="shared" ref="Z25:Z88" si="55">IF($Q25&lt;=M$17,M$18,0)</f>
        <v>0</v>
      </c>
      <c r="AA25" s="161">
        <f t="shared" ref="AA25:AA88" si="56">IF($Q25&lt;=N$17,N$18,0)</f>
        <v>0</v>
      </c>
      <c r="AB25" s="161"/>
      <c r="AC25" s="168">
        <v>7</v>
      </c>
      <c r="AD25" s="213">
        <f t="shared" ca="1" si="39"/>
        <v>45361</v>
      </c>
      <c r="AE25" s="260">
        <f t="shared" si="13"/>
        <v>56.62</v>
      </c>
      <c r="AF25" s="168"/>
      <c r="AG25" s="233">
        <v>7</v>
      </c>
      <c r="AH25" s="213">
        <f t="shared" ca="1" si="40"/>
        <v>45361</v>
      </c>
      <c r="AI25" s="260">
        <f t="shared" ca="1" si="35"/>
        <v>619.79</v>
      </c>
      <c r="AJ25" s="215">
        <f t="shared" ca="1" si="36"/>
        <v>549.1070689643791</v>
      </c>
      <c r="AK25" s="168">
        <v>7</v>
      </c>
      <c r="AL25" s="213">
        <f t="shared" ca="1" si="41"/>
        <v>45361</v>
      </c>
      <c r="AM25" s="260">
        <f t="shared" ca="1" si="37"/>
        <v>676.41</v>
      </c>
      <c r="AN25" s="161"/>
      <c r="AO25" s="161">
        <v>7</v>
      </c>
      <c r="AP25" s="117">
        <f t="shared" si="14"/>
        <v>56.62</v>
      </c>
      <c r="AQ25" s="117">
        <f t="shared" si="15"/>
        <v>0</v>
      </c>
      <c r="AR25" s="117">
        <f t="shared" si="16"/>
        <v>0</v>
      </c>
      <c r="AS25" s="161">
        <f t="shared" si="17"/>
        <v>0</v>
      </c>
      <c r="AT25" s="161">
        <f t="shared" si="18"/>
        <v>0</v>
      </c>
      <c r="AU25" s="161">
        <f t="shared" si="19"/>
        <v>0</v>
      </c>
      <c r="AV25" s="161">
        <f t="shared" si="20"/>
        <v>0</v>
      </c>
      <c r="AW25" s="161">
        <f t="shared" si="21"/>
        <v>0</v>
      </c>
      <c r="AX25" s="161">
        <f t="shared" si="22"/>
        <v>0</v>
      </c>
      <c r="AY25" s="161">
        <f t="shared" si="23"/>
        <v>0</v>
      </c>
      <c r="BD25" s="186" t="str">
        <f t="shared" si="42"/>
        <v>3AERONAUTICA</v>
      </c>
      <c r="BE25" s="186">
        <f t="shared" si="43"/>
        <v>3</v>
      </c>
      <c r="BF25" s="209" t="str">
        <f>'Base tabelas'!A4</f>
        <v>AERONAUTICA</v>
      </c>
      <c r="BG25" s="209" t="str">
        <f>'Base tabelas'!B4</f>
        <v>795723 - Tabela 3</v>
      </c>
      <c r="BH25" s="209">
        <f>'Base tabelas'!C4</f>
        <v>1.7000000000000001E-2</v>
      </c>
      <c r="BI25" s="209">
        <f>'Base tabelas'!D4</f>
        <v>96</v>
      </c>
      <c r="BJ25" s="209" t="str">
        <f>'Base tabelas'!E4</f>
        <v/>
      </c>
      <c r="BK25" s="209">
        <f>'Base tabelas'!F4</f>
        <v>2.1</v>
      </c>
      <c r="BL25" s="209">
        <f>'Base tabelas'!G4</f>
        <v>10</v>
      </c>
      <c r="BM25" s="209">
        <f>'Base tabelas'!H4</f>
        <v>49</v>
      </c>
      <c r="BN25" s="209" t="str">
        <f>'Base tabelas'!I4</f>
        <v>RFN-AERONAUTICA 3 DIG PORTAB</v>
      </c>
      <c r="BO25" s="209" t="str">
        <f>'Base tabelas'!J4</f>
        <v>1,3</v>
      </c>
      <c r="BP25" s="209">
        <f>'Base tabelas'!K4</f>
        <v>1.3000000000000001E-2</v>
      </c>
      <c r="BQ25" s="277">
        <f t="shared" si="45"/>
        <v>2.207747253474307E-2</v>
      </c>
      <c r="BR25" s="278">
        <f t="shared" si="46"/>
        <v>2.1000000000000001E-2</v>
      </c>
      <c r="BS25" s="279">
        <v>2.9999999999999997E-4</v>
      </c>
      <c r="BU25" s="118" t="s">
        <v>132</v>
      </c>
      <c r="BV25" s="161">
        <v>45.333333333333336</v>
      </c>
    </row>
    <row r="26" spans="2:115" ht="27.75" customHeight="1" thickBot="1" x14ac:dyDescent="0.3">
      <c r="B26"/>
      <c r="C26" s="301" t="s">
        <v>30</v>
      </c>
      <c r="D26" s="324"/>
      <c r="E26" s="153">
        <f ca="1">AM15</f>
        <v>1.8628653770972781E-2</v>
      </c>
      <c r="F26" s="62"/>
      <c r="G26" s="62"/>
      <c r="H26" s="62"/>
      <c r="I26" s="62"/>
      <c r="J26" s="62"/>
      <c r="K26" s="62"/>
      <c r="L26" s="99">
        <f ca="1">O18</f>
        <v>56.62</v>
      </c>
      <c r="M26" s="62"/>
      <c r="N26" s="62"/>
      <c r="P26" s="171"/>
      <c r="Q26" s="161">
        <v>8</v>
      </c>
      <c r="R26" s="161">
        <f t="shared" si="47"/>
        <v>56.62</v>
      </c>
      <c r="S26" s="161">
        <f t="shared" si="48"/>
        <v>0</v>
      </c>
      <c r="T26" s="161">
        <f t="shared" si="49"/>
        <v>0</v>
      </c>
      <c r="U26" s="161">
        <f t="shared" si="50"/>
        <v>0</v>
      </c>
      <c r="V26" s="161">
        <f t="shared" si="51"/>
        <v>0</v>
      </c>
      <c r="W26" s="161">
        <f t="shared" si="52"/>
        <v>0</v>
      </c>
      <c r="X26" s="161">
        <f t="shared" si="53"/>
        <v>0</v>
      </c>
      <c r="Y26" s="161">
        <f t="shared" si="54"/>
        <v>0</v>
      </c>
      <c r="Z26" s="161">
        <f t="shared" si="55"/>
        <v>0</v>
      </c>
      <c r="AA26" s="161">
        <f t="shared" si="56"/>
        <v>0</v>
      </c>
      <c r="AB26" s="161"/>
      <c r="AC26" s="168">
        <v>8</v>
      </c>
      <c r="AD26" s="213">
        <f t="shared" ca="1" si="39"/>
        <v>45392</v>
      </c>
      <c r="AE26" s="260">
        <f t="shared" si="13"/>
        <v>56.62</v>
      </c>
      <c r="AF26" s="168"/>
      <c r="AG26" s="233">
        <v>8</v>
      </c>
      <c r="AH26" s="213">
        <f t="shared" ca="1" si="40"/>
        <v>45392</v>
      </c>
      <c r="AI26" s="260">
        <f t="shared" ca="1" si="35"/>
        <v>619.79</v>
      </c>
      <c r="AJ26" s="215">
        <f t="shared" ca="1" si="36"/>
        <v>538.47598540273327</v>
      </c>
      <c r="AK26" s="168">
        <v>8</v>
      </c>
      <c r="AL26" s="213">
        <f t="shared" ca="1" si="41"/>
        <v>45392</v>
      </c>
      <c r="AM26" s="260">
        <f t="shared" ca="1" si="37"/>
        <v>676.41</v>
      </c>
      <c r="AN26" s="161"/>
      <c r="AO26" s="161">
        <v>8</v>
      </c>
      <c r="AP26" s="117">
        <f t="shared" si="14"/>
        <v>56.62</v>
      </c>
      <c r="AQ26" s="117">
        <f t="shared" si="15"/>
        <v>0</v>
      </c>
      <c r="AR26" s="117">
        <f t="shared" si="16"/>
        <v>0</v>
      </c>
      <c r="AS26" s="161">
        <f t="shared" si="17"/>
        <v>0</v>
      </c>
      <c r="AT26" s="161">
        <f t="shared" si="18"/>
        <v>0</v>
      </c>
      <c r="AU26" s="161">
        <f t="shared" si="19"/>
        <v>0</v>
      </c>
      <c r="AV26" s="161">
        <f t="shared" si="20"/>
        <v>0</v>
      </c>
      <c r="AW26" s="161">
        <f t="shared" si="21"/>
        <v>0</v>
      </c>
      <c r="AX26" s="161">
        <f t="shared" si="22"/>
        <v>0</v>
      </c>
      <c r="AY26" s="161">
        <f t="shared" si="23"/>
        <v>0</v>
      </c>
      <c r="BD26" s="186" t="str">
        <f t="shared" si="42"/>
        <v>4AERONAUTICA</v>
      </c>
      <c r="BE26" s="186">
        <f t="shared" si="43"/>
        <v>4</v>
      </c>
      <c r="BF26" s="209" t="str">
        <f>'Base tabelas'!A5</f>
        <v>AERONAUTICA</v>
      </c>
      <c r="BG26" s="209" t="str">
        <f>'Base tabelas'!B5</f>
        <v>795724 - Tabela 4</v>
      </c>
      <c r="BH26" s="209">
        <f>'Base tabelas'!C5</f>
        <v>1.5600000000000001E-2</v>
      </c>
      <c r="BI26" s="209">
        <f>'Base tabelas'!D5</f>
        <v>96</v>
      </c>
      <c r="BJ26" s="209" t="str">
        <f>'Base tabelas'!E5</f>
        <v/>
      </c>
      <c r="BK26" s="209">
        <f>'Base tabelas'!F5</f>
        <v>2.1</v>
      </c>
      <c r="BL26" s="209">
        <f>'Base tabelas'!G5</f>
        <v>10</v>
      </c>
      <c r="BM26" s="209">
        <f>'Base tabelas'!H5</f>
        <v>50</v>
      </c>
      <c r="BN26" s="209" t="str">
        <f>'Base tabelas'!I5</f>
        <v>RFN-AERONAUTICA 4 DIG PORTAB</v>
      </c>
      <c r="BO26" s="209" t="str">
        <f>'Base tabelas'!J5</f>
        <v>1,3</v>
      </c>
      <c r="BP26" s="209">
        <f>'Base tabelas'!K5</f>
        <v>1.3000000000000001E-2</v>
      </c>
      <c r="BQ26" s="277">
        <f t="shared" ref="BQ26:BQ89" si="57">(PMT(BH26,BI26,-1,0,0)*(BH26+1)^((BM26-30)/30))*1.03017</f>
        <v>2.0985739038227591E-2</v>
      </c>
      <c r="BR26" s="278">
        <f t="shared" ref="BR26:BR89" si="58">BK26/100</f>
        <v>2.1000000000000001E-2</v>
      </c>
      <c r="BS26" s="279">
        <v>2.9999999999999997E-4</v>
      </c>
      <c r="BU26" s="118" t="s">
        <v>260</v>
      </c>
      <c r="BV26" s="161">
        <v>45</v>
      </c>
    </row>
    <row r="27" spans="2:115" s="12" customFormat="1" ht="32.25" thickBot="1" x14ac:dyDescent="0.3">
      <c r="C27" s="124"/>
      <c r="D27" s="79"/>
      <c r="E27" s="68" t="s">
        <v>38</v>
      </c>
      <c r="F27" s="68" t="s">
        <v>3</v>
      </c>
      <c r="G27" s="68" t="s">
        <v>39</v>
      </c>
      <c r="H27" s="68" t="s">
        <v>5</v>
      </c>
      <c r="I27" s="68" t="s">
        <v>4</v>
      </c>
      <c r="J27" s="68" t="s">
        <v>1</v>
      </c>
      <c r="K27" s="68" t="s">
        <v>6</v>
      </c>
      <c r="L27" s="147" t="s">
        <v>28</v>
      </c>
      <c r="M27" s="133" t="s">
        <v>464</v>
      </c>
      <c r="N27" s="125"/>
      <c r="O27" s="125"/>
      <c r="P27" s="20"/>
      <c r="Q27" s="117">
        <v>9</v>
      </c>
      <c r="R27" s="117">
        <f t="shared" si="47"/>
        <v>56.62</v>
      </c>
      <c r="S27" s="117">
        <f t="shared" si="48"/>
        <v>0</v>
      </c>
      <c r="T27" s="117">
        <f t="shared" si="49"/>
        <v>0</v>
      </c>
      <c r="U27" s="117">
        <f t="shared" si="50"/>
        <v>0</v>
      </c>
      <c r="V27" s="117">
        <f t="shared" si="51"/>
        <v>0</v>
      </c>
      <c r="W27" s="117">
        <f t="shared" si="52"/>
        <v>0</v>
      </c>
      <c r="X27" s="117">
        <f t="shared" si="53"/>
        <v>0</v>
      </c>
      <c r="Y27" s="117">
        <f t="shared" si="54"/>
        <v>0</v>
      </c>
      <c r="Z27" s="117">
        <f t="shared" si="55"/>
        <v>0</v>
      </c>
      <c r="AA27" s="117">
        <f t="shared" si="56"/>
        <v>0</v>
      </c>
      <c r="AB27" s="117"/>
      <c r="AC27" s="233">
        <v>9</v>
      </c>
      <c r="AD27" s="280">
        <f t="shared" ca="1" si="39"/>
        <v>45422</v>
      </c>
      <c r="AE27" s="281">
        <f t="shared" si="13"/>
        <v>56.62</v>
      </c>
      <c r="AF27" s="233"/>
      <c r="AG27" s="233">
        <v>9</v>
      </c>
      <c r="AH27" s="280">
        <f t="shared" ca="1" si="40"/>
        <v>45422</v>
      </c>
      <c r="AI27" s="281">
        <f t="shared" ca="1" si="35"/>
        <v>619.79</v>
      </c>
      <c r="AJ27" s="259">
        <f t="shared" ca="1" si="36"/>
        <v>528.38385379524425</v>
      </c>
      <c r="AK27" s="233">
        <v>9</v>
      </c>
      <c r="AL27" s="280">
        <f t="shared" ca="1" si="41"/>
        <v>45422</v>
      </c>
      <c r="AM27" s="281">
        <f t="shared" ca="1" si="37"/>
        <v>676.41</v>
      </c>
      <c r="AN27" s="117"/>
      <c r="AO27" s="117">
        <v>9</v>
      </c>
      <c r="AP27" s="117">
        <f t="shared" si="14"/>
        <v>56.62</v>
      </c>
      <c r="AQ27" s="117">
        <f t="shared" si="15"/>
        <v>0</v>
      </c>
      <c r="AR27" s="117">
        <f t="shared" si="16"/>
        <v>0</v>
      </c>
      <c r="AS27" s="117">
        <f t="shared" si="17"/>
        <v>0</v>
      </c>
      <c r="AT27" s="117">
        <f t="shared" si="18"/>
        <v>0</v>
      </c>
      <c r="AU27" s="117">
        <f t="shared" si="19"/>
        <v>0</v>
      </c>
      <c r="AV27" s="117">
        <f t="shared" si="20"/>
        <v>0</v>
      </c>
      <c r="AW27" s="117">
        <f t="shared" si="21"/>
        <v>0</v>
      </c>
      <c r="AX27" s="117">
        <f t="shared" si="22"/>
        <v>0</v>
      </c>
      <c r="AY27" s="117">
        <f t="shared" si="23"/>
        <v>0</v>
      </c>
      <c r="AZ27" s="117"/>
      <c r="BA27" s="117"/>
      <c r="BB27" s="117"/>
      <c r="BC27" s="117"/>
      <c r="BD27" s="186" t="str">
        <f t="shared" si="42"/>
        <v>1AMAZONPREV - AM</v>
      </c>
      <c r="BE27" s="186">
        <f t="shared" si="43"/>
        <v>1</v>
      </c>
      <c r="BF27" s="209" t="str">
        <f>'Base tabelas'!A6</f>
        <v>AMAZONPREV - AM</v>
      </c>
      <c r="BG27" s="209" t="str">
        <f>'Base tabelas'!B6</f>
        <v>755501 - Tabela 1</v>
      </c>
      <c r="BH27" s="209">
        <f>'Base tabelas'!C6</f>
        <v>2.5000000000000001E-2</v>
      </c>
      <c r="BI27" s="209">
        <f>'Base tabelas'!D6</f>
        <v>120</v>
      </c>
      <c r="BJ27" s="209" t="str">
        <f>'Base tabelas'!E6</f>
        <v/>
      </c>
      <c r="BK27" s="209">
        <f>'Base tabelas'!F6</f>
        <v>2.6</v>
      </c>
      <c r="BL27" s="209">
        <f>'Base tabelas'!G6</f>
        <v>10</v>
      </c>
      <c r="BM27" s="209">
        <f>'Base tabelas'!H6</f>
        <v>50</v>
      </c>
      <c r="BN27" s="209" t="str">
        <f>'Base tabelas'!I6</f>
        <v>RFN - AMAZONPREV DIG 1 PORTAB PLUS</v>
      </c>
      <c r="BO27" s="209" t="str">
        <f>'Base tabelas'!J6</f>
        <v>1,85</v>
      </c>
      <c r="BP27" s="209">
        <f>'Base tabelas'!K6</f>
        <v>1.8500000000000003E-2</v>
      </c>
      <c r="BQ27" s="277">
        <f t="shared" si="57"/>
        <v>2.760788184564332E-2</v>
      </c>
      <c r="BR27" s="278">
        <f t="shared" si="58"/>
        <v>2.6000000000000002E-2</v>
      </c>
      <c r="BS27" s="279">
        <v>2.9999999999999997E-4</v>
      </c>
      <c r="BT27" s="117"/>
      <c r="BU27" s="118" t="s">
        <v>135</v>
      </c>
      <c r="BV27" s="161">
        <v>46.25</v>
      </c>
      <c r="BW27" s="161"/>
      <c r="BX27" s="161"/>
      <c r="BY27" s="161"/>
      <c r="BZ27" s="161"/>
      <c r="CA27" s="161"/>
      <c r="CB27" s="161"/>
      <c r="CC27" s="161"/>
      <c r="CD27" s="161"/>
      <c r="CE27" s="161"/>
      <c r="CF27" s="161"/>
      <c r="CG27" s="161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</row>
    <row r="28" spans="2:115" ht="27.75" customHeight="1" thickBot="1" x14ac:dyDescent="0.3">
      <c r="B28"/>
      <c r="C28" s="9"/>
      <c r="D28" s="117">
        <v>1</v>
      </c>
      <c r="E28" s="41" t="str">
        <f t="shared" ref="E28:E34" si="59">$F$6</f>
        <v>INSS</v>
      </c>
      <c r="F28" s="56" t="str">
        <f>IFERROR(VLOOKUP(CONCATENATE(D28,E28),$BD$22:$BG$600,4,FALSE),"")</f>
        <v>815061 - Tabela 1</v>
      </c>
      <c r="G28" s="74">
        <f>IFERROR(VLOOKUP(F28,$BG$23:$BH$198,2,0),"")</f>
        <v>1.9E-2</v>
      </c>
      <c r="H28" s="58">
        <f>IFERROR(VLOOKUP(F28,$BG:$BQ,11,0),"")</f>
        <v>2.5002278314111091E-2</v>
      </c>
      <c r="I28" s="75">
        <f t="shared" ref="I28:I34" ca="1" si="60">IFERROR($E$24/H28*1.031703,"")</f>
        <v>27911.625391200312</v>
      </c>
      <c r="J28" s="76">
        <f t="shared" ref="J28:J34" ca="1" si="61">IF(F28="","",IF(I28=0,0,$O$20))</f>
        <v>2588.86</v>
      </c>
      <c r="K28" s="101">
        <f t="shared" ref="K28:K34" ca="1" si="62">IF(F28&lt;&gt;"",IF(J28&gt;I28,0,(I28-J28)/1.031703),"")</f>
        <v>24544.627078917394</v>
      </c>
      <c r="L28" s="102" t="str">
        <f ca="1">IFERROR(IF(F28="","",IF(G28-$T$7&lt;=$AM$15,IF(K28&gt;100,"TAB disponivel","Não Libera Troco"),"Tabela Superior Taxa Ponderada")),"")</f>
        <v>Tabela Superior Taxa Ponderada</v>
      </c>
      <c r="M28" s="132" t="str">
        <f t="shared" ref="M28:M34" ca="1" si="63">IF(L28=$G$36,"Tabela Superior Taxa Ponderada",IF(OR(IFERROR(N28/K28-1,"")&gt;9.98%,IFERROR(N28/K28-1,"")&lt;-9.98%),"Gera Reassinatura","Sem Reassinatura"))</f>
        <v>Tabela Superior Taxa Ponderada</v>
      </c>
      <c r="N28" s="126">
        <f t="shared" ref="N28:N34" ca="1" si="64">IF(F28&lt;&gt;"",IF(O28&gt;I28,0,(I28-O28)/1.031703),"")</f>
        <v>7765.437719188867</v>
      </c>
      <c r="O28" s="127">
        <f ca="1">$O$22</f>
        <v>19900</v>
      </c>
      <c r="P28" s="171">
        <f t="shared" ref="P28:P29" ca="1" si="65">N28/K28-1</f>
        <v>-0.68361964945643883</v>
      </c>
      <c r="Q28" s="161">
        <v>10</v>
      </c>
      <c r="R28" s="161">
        <f t="shared" si="47"/>
        <v>56.62</v>
      </c>
      <c r="S28" s="161">
        <f t="shared" si="48"/>
        <v>0</v>
      </c>
      <c r="T28" s="161">
        <f t="shared" si="49"/>
        <v>0</v>
      </c>
      <c r="U28" s="161">
        <f t="shared" si="50"/>
        <v>0</v>
      </c>
      <c r="V28" s="161">
        <f t="shared" si="51"/>
        <v>0</v>
      </c>
      <c r="W28" s="161">
        <f t="shared" si="52"/>
        <v>0</v>
      </c>
      <c r="X28" s="161">
        <f t="shared" si="53"/>
        <v>0</v>
      </c>
      <c r="Y28" s="161">
        <f t="shared" si="54"/>
        <v>0</v>
      </c>
      <c r="Z28" s="161">
        <f t="shared" si="55"/>
        <v>0</v>
      </c>
      <c r="AA28" s="161">
        <f t="shared" si="56"/>
        <v>0</v>
      </c>
      <c r="AB28" s="161"/>
      <c r="AC28" s="168">
        <v>10</v>
      </c>
      <c r="AD28" s="213">
        <f t="shared" ca="1" si="39"/>
        <v>45453</v>
      </c>
      <c r="AE28" s="260">
        <f t="shared" si="13"/>
        <v>56.62</v>
      </c>
      <c r="AF28" s="168"/>
      <c r="AG28" s="233">
        <v>10</v>
      </c>
      <c r="AH28" s="213">
        <f t="shared" ca="1" si="40"/>
        <v>45453</v>
      </c>
      <c r="AI28" s="260">
        <f t="shared" ca="1" si="35"/>
        <v>619.79</v>
      </c>
      <c r="AJ28" s="215">
        <f t="shared" ca="1" si="36"/>
        <v>518.15398566967815</v>
      </c>
      <c r="AK28" s="168">
        <v>10</v>
      </c>
      <c r="AL28" s="213">
        <f t="shared" ca="1" si="41"/>
        <v>45453</v>
      </c>
      <c r="AM28" s="260">
        <f t="shared" ca="1" si="37"/>
        <v>676.41</v>
      </c>
      <c r="AN28" s="161"/>
      <c r="AO28" s="161">
        <v>10</v>
      </c>
      <c r="AP28" s="117">
        <f t="shared" si="14"/>
        <v>56.62</v>
      </c>
      <c r="AQ28" s="117">
        <f t="shared" si="15"/>
        <v>0</v>
      </c>
      <c r="AR28" s="117">
        <f t="shared" si="16"/>
        <v>0</v>
      </c>
      <c r="AS28" s="161">
        <f t="shared" si="17"/>
        <v>0</v>
      </c>
      <c r="AT28" s="161">
        <f t="shared" si="18"/>
        <v>0</v>
      </c>
      <c r="AU28" s="161">
        <f t="shared" si="19"/>
        <v>0</v>
      </c>
      <c r="AV28" s="161">
        <f t="shared" si="20"/>
        <v>0</v>
      </c>
      <c r="AW28" s="161">
        <f t="shared" si="21"/>
        <v>0</v>
      </c>
      <c r="AX28" s="161">
        <f t="shared" si="22"/>
        <v>0</v>
      </c>
      <c r="AY28" s="161">
        <f t="shared" si="23"/>
        <v>0</v>
      </c>
      <c r="BD28" s="186" t="str">
        <f t="shared" si="42"/>
        <v>2AMAZONPREV - AM</v>
      </c>
      <c r="BE28" s="186">
        <f t="shared" si="43"/>
        <v>2</v>
      </c>
      <c r="BF28" s="209" t="str">
        <f>'Base tabelas'!A7</f>
        <v>AMAZONPREV - AM</v>
      </c>
      <c r="BG28" s="209" t="str">
        <f>'Base tabelas'!B7</f>
        <v>755504 - Tabela 2</v>
      </c>
      <c r="BH28" s="209">
        <f>'Base tabelas'!C7</f>
        <v>2.35E-2</v>
      </c>
      <c r="BI28" s="209">
        <f>'Base tabelas'!D7</f>
        <v>120</v>
      </c>
      <c r="BJ28" s="209" t="str">
        <f>'Base tabelas'!E7</f>
        <v/>
      </c>
      <c r="BK28" s="209">
        <f>'Base tabelas'!F7</f>
        <v>2.6</v>
      </c>
      <c r="BL28" s="209">
        <f>'Base tabelas'!G7</f>
        <v>10</v>
      </c>
      <c r="BM28" s="209">
        <f>'Base tabelas'!H7</f>
        <v>55</v>
      </c>
      <c r="BN28" s="209" t="str">
        <f>'Base tabelas'!I7</f>
        <v>RFN - AMAZONPREV DIG 2 PORTAB PLUS</v>
      </c>
      <c r="BO28" s="209" t="str">
        <f>'Base tabelas'!J7</f>
        <v>1,85</v>
      </c>
      <c r="BP28" s="209">
        <f>'Base tabelas'!K7</f>
        <v>1.8500000000000003E-2</v>
      </c>
      <c r="BQ28" s="277">
        <f t="shared" si="57"/>
        <v>2.6301908970714952E-2</v>
      </c>
      <c r="BR28" s="278">
        <f t="shared" si="58"/>
        <v>2.6000000000000002E-2</v>
      </c>
      <c r="BS28" s="279">
        <v>2.9999999999999997E-4</v>
      </c>
      <c r="BU28" s="118" t="s">
        <v>136</v>
      </c>
      <c r="BV28" s="161">
        <v>46.5</v>
      </c>
    </row>
    <row r="29" spans="2:115" ht="27.75" customHeight="1" thickBot="1" x14ac:dyDescent="0.3">
      <c r="B29"/>
      <c r="C29" s="9"/>
      <c r="D29" s="117">
        <v>2</v>
      </c>
      <c r="E29" s="41" t="str">
        <f t="shared" si="59"/>
        <v>INSS</v>
      </c>
      <c r="F29" s="56" t="str">
        <f t="shared" ref="F29:F34" si="66">IFERROR(VLOOKUP(CONCATENATE(D29,E29),$BD$22:$BG$600,4,FALSE),"")</f>
        <v>815082 - Tabela 2</v>
      </c>
      <c r="G29" s="74">
        <f t="shared" ref="G29:G34" si="67">IFERROR(VLOOKUP(F29,$BG$23:$BH$198,2,0),"")</f>
        <v>1.8500000000000003E-2</v>
      </c>
      <c r="H29" s="58">
        <f t="shared" ref="H29:H34" si="68">IFERROR(VLOOKUP(F29,$BG:$BQ,11,0),"")</f>
        <v>2.4603439576403801E-2</v>
      </c>
      <c r="I29" s="75">
        <f t="shared" ca="1" si="60"/>
        <v>28364.092104393596</v>
      </c>
      <c r="J29" s="76">
        <f t="shared" ca="1" si="61"/>
        <v>2588.86</v>
      </c>
      <c r="K29" s="101">
        <f t="shared" ca="1" si="62"/>
        <v>24983.190030845693</v>
      </c>
      <c r="L29" s="102" t="str">
        <f t="shared" ref="L29:L34" ca="1" si="69">IFERROR(IF(F29="","",IF(G29-$T$7&lt;=$AM$15,IF(K29&gt;100,"TAB disponivel","Não Libera Troco"),"Tabela Superior Taxa Ponderada")),"")</f>
        <v>TAB disponivel</v>
      </c>
      <c r="M29" s="132" t="str">
        <f t="shared" ca="1" si="63"/>
        <v>Gera Reassinatura</v>
      </c>
      <c r="N29" s="126">
        <f t="shared" ca="1" si="64"/>
        <v>8204.0006711171682</v>
      </c>
      <c r="O29" s="127">
        <f t="shared" ref="O29:O34" ca="1" si="70">$O$22</f>
        <v>19900</v>
      </c>
      <c r="P29" s="171">
        <f t="shared" ca="1" si="65"/>
        <v>-0.67161917029058205</v>
      </c>
      <c r="Q29" s="161">
        <v>11</v>
      </c>
      <c r="R29" s="161">
        <f t="shared" si="47"/>
        <v>56.62</v>
      </c>
      <c r="S29" s="161">
        <f t="shared" si="48"/>
        <v>0</v>
      </c>
      <c r="T29" s="161">
        <f t="shared" si="49"/>
        <v>0</v>
      </c>
      <c r="U29" s="161">
        <f t="shared" si="50"/>
        <v>0</v>
      </c>
      <c r="V29" s="161">
        <f t="shared" si="51"/>
        <v>0</v>
      </c>
      <c r="W29" s="161">
        <f t="shared" si="52"/>
        <v>0</v>
      </c>
      <c r="X29" s="161">
        <f t="shared" si="53"/>
        <v>0</v>
      </c>
      <c r="Y29" s="161">
        <f t="shared" si="54"/>
        <v>0</v>
      </c>
      <c r="Z29" s="161">
        <f t="shared" si="55"/>
        <v>0</v>
      </c>
      <c r="AA29" s="161">
        <f t="shared" si="56"/>
        <v>0</v>
      </c>
      <c r="AB29" s="161"/>
      <c r="AC29" s="168">
        <v>11</v>
      </c>
      <c r="AD29" s="213">
        <f t="shared" ca="1" si="39"/>
        <v>45483</v>
      </c>
      <c r="AE29" s="260">
        <f t="shared" si="13"/>
        <v>56.62</v>
      </c>
      <c r="AF29" s="168"/>
      <c r="AG29" s="233">
        <v>11</v>
      </c>
      <c r="AH29" s="213">
        <f t="shared" ca="1" si="40"/>
        <v>45483</v>
      </c>
      <c r="AI29" s="260">
        <f t="shared" ca="1" si="35"/>
        <v>619.79</v>
      </c>
      <c r="AJ29" s="215">
        <f t="shared" ca="1" si="36"/>
        <v>508.44272953554923</v>
      </c>
      <c r="AK29" s="168">
        <v>11</v>
      </c>
      <c r="AL29" s="213">
        <f t="shared" ca="1" si="41"/>
        <v>45483</v>
      </c>
      <c r="AM29" s="260">
        <f t="shared" ca="1" si="37"/>
        <v>676.41</v>
      </c>
      <c r="AN29" s="161"/>
      <c r="AO29" s="161">
        <v>11</v>
      </c>
      <c r="AP29" s="117">
        <f t="shared" si="14"/>
        <v>56.62</v>
      </c>
      <c r="AQ29" s="117">
        <f t="shared" si="15"/>
        <v>0</v>
      </c>
      <c r="AR29" s="117">
        <f t="shared" si="16"/>
        <v>0</v>
      </c>
      <c r="AS29" s="161">
        <f t="shared" si="17"/>
        <v>0</v>
      </c>
      <c r="AT29" s="161">
        <f t="shared" si="18"/>
        <v>0</v>
      </c>
      <c r="AU29" s="161">
        <f t="shared" si="19"/>
        <v>0</v>
      </c>
      <c r="AV29" s="161">
        <f t="shared" si="20"/>
        <v>0</v>
      </c>
      <c r="AW29" s="161">
        <f t="shared" si="21"/>
        <v>0</v>
      </c>
      <c r="AX29" s="161">
        <f t="shared" si="22"/>
        <v>0</v>
      </c>
      <c r="AY29" s="161">
        <f t="shared" si="23"/>
        <v>0</v>
      </c>
      <c r="BD29" s="186" t="str">
        <f t="shared" si="42"/>
        <v>1BOMBEIROS MG</v>
      </c>
      <c r="BE29" s="186">
        <f t="shared" si="43"/>
        <v>1</v>
      </c>
      <c r="BF29" s="209" t="str">
        <f>'Base tabelas'!A8</f>
        <v>BOMBEIROS MG</v>
      </c>
      <c r="BG29" s="209" t="str">
        <f>'Base tabelas'!B8</f>
        <v>765611 - Tabela 1</v>
      </c>
      <c r="BH29" s="209">
        <f>'Base tabelas'!C8</f>
        <v>2.1499999999999998E-2</v>
      </c>
      <c r="BI29" s="209">
        <f>'Base tabelas'!D8</f>
        <v>120</v>
      </c>
      <c r="BJ29" s="209" t="str">
        <f>'Base tabelas'!E8</f>
        <v/>
      </c>
      <c r="BK29" s="209">
        <f>'Base tabelas'!F8</f>
        <v>2.4</v>
      </c>
      <c r="BL29" s="209">
        <f>'Base tabelas'!G8</f>
        <v>7</v>
      </c>
      <c r="BM29" s="209">
        <f>'Base tabelas'!H8</f>
        <v>44</v>
      </c>
      <c r="BN29" s="209" t="str">
        <f>'Base tabelas'!I8</f>
        <v>RFN - BOMBEIROS 1 DIG PORTABILIDADE</v>
      </c>
      <c r="BO29" s="209" t="str">
        <f>'Base tabelas'!J8</f>
        <v>1,64</v>
      </c>
      <c r="BP29" s="209">
        <f>'Base tabelas'!K8</f>
        <v>1.6399999999999998E-2</v>
      </c>
      <c r="BQ29" s="277">
        <f t="shared" si="57"/>
        <v>2.4258759232831675E-2</v>
      </c>
      <c r="BR29" s="278">
        <f t="shared" si="58"/>
        <v>2.4E-2</v>
      </c>
      <c r="BS29" s="279">
        <v>2.9999999999999997E-4</v>
      </c>
      <c r="BU29" s="118" t="s">
        <v>98</v>
      </c>
      <c r="BV29" s="161">
        <v>58.25</v>
      </c>
    </row>
    <row r="30" spans="2:115" ht="27.75" customHeight="1" thickBot="1" x14ac:dyDescent="0.3">
      <c r="B30"/>
      <c r="C30" s="9"/>
      <c r="D30" s="117">
        <v>3</v>
      </c>
      <c r="E30" s="41" t="str">
        <f t="shared" si="59"/>
        <v>INSS</v>
      </c>
      <c r="F30" s="56" t="str">
        <f t="shared" si="66"/>
        <v>815083 - Tabela 3</v>
      </c>
      <c r="G30" s="74">
        <f t="shared" si="67"/>
        <v>1.8000000000000002E-2</v>
      </c>
      <c r="H30" s="58">
        <f t="shared" si="68"/>
        <v>2.4207712468790974E-2</v>
      </c>
      <c r="I30" s="75">
        <f t="shared" ca="1" si="60"/>
        <v>28827.764173491669</v>
      </c>
      <c r="J30" s="76">
        <f t="shared" ca="1" si="61"/>
        <v>2588.86</v>
      </c>
      <c r="K30" s="101">
        <f t="shared" ca="1" si="62"/>
        <v>25432.614011485541</v>
      </c>
      <c r="L30" s="102" t="str">
        <f t="shared" ca="1" si="69"/>
        <v>TAB disponivel</v>
      </c>
      <c r="M30" s="132" t="str">
        <f t="shared" ca="1" si="63"/>
        <v>Gera Reassinatura</v>
      </c>
      <c r="N30" s="126">
        <f ca="1">IF(F30&lt;&gt;"",IF(O30&gt;I30,0,(I30-O30)/1.031703),"")</f>
        <v>8653.4246517570155</v>
      </c>
      <c r="O30" s="127">
        <f t="shared" ca="1" si="70"/>
        <v>19900</v>
      </c>
      <c r="P30" s="171">
        <f ca="1">N30/K30-1</f>
        <v>-0.65975087547630495</v>
      </c>
      <c r="Q30" s="161">
        <v>12</v>
      </c>
      <c r="R30" s="161">
        <f t="shared" si="47"/>
        <v>56.62</v>
      </c>
      <c r="S30" s="161">
        <f t="shared" si="48"/>
        <v>0</v>
      </c>
      <c r="T30" s="161">
        <f t="shared" si="49"/>
        <v>0</v>
      </c>
      <c r="U30" s="161">
        <f t="shared" si="50"/>
        <v>0</v>
      </c>
      <c r="V30" s="161">
        <f t="shared" si="51"/>
        <v>0</v>
      </c>
      <c r="W30" s="161">
        <f t="shared" si="52"/>
        <v>0</v>
      </c>
      <c r="X30" s="161">
        <f t="shared" si="53"/>
        <v>0</v>
      </c>
      <c r="Y30" s="161">
        <f t="shared" si="54"/>
        <v>0</v>
      </c>
      <c r="Z30" s="161">
        <f t="shared" si="55"/>
        <v>0</v>
      </c>
      <c r="AA30" s="161">
        <f t="shared" si="56"/>
        <v>0</v>
      </c>
      <c r="AB30" s="161"/>
      <c r="AC30" s="168">
        <v>12</v>
      </c>
      <c r="AD30" s="213">
        <f t="shared" ca="1" si="39"/>
        <v>45514</v>
      </c>
      <c r="AE30" s="260">
        <f t="shared" si="13"/>
        <v>56.62</v>
      </c>
      <c r="AF30" s="168"/>
      <c r="AG30" s="233">
        <v>12</v>
      </c>
      <c r="AH30" s="213">
        <f t="shared" ca="1" si="40"/>
        <v>45514</v>
      </c>
      <c r="AI30" s="260">
        <f t="shared" ca="1" si="35"/>
        <v>619.79</v>
      </c>
      <c r="AJ30" s="215">
        <f t="shared" ca="1" si="36"/>
        <v>498.59893503806052</v>
      </c>
      <c r="AK30" s="168">
        <v>12</v>
      </c>
      <c r="AL30" s="213">
        <f t="shared" ca="1" si="41"/>
        <v>45514</v>
      </c>
      <c r="AM30" s="260">
        <f t="shared" ca="1" si="37"/>
        <v>676.41</v>
      </c>
      <c r="AN30" s="161"/>
      <c r="AO30" s="161">
        <v>12</v>
      </c>
      <c r="AP30" s="117">
        <f t="shared" si="14"/>
        <v>56.62</v>
      </c>
      <c r="AQ30" s="117">
        <f t="shared" si="15"/>
        <v>0</v>
      </c>
      <c r="AR30" s="117">
        <f t="shared" si="16"/>
        <v>0</v>
      </c>
      <c r="AS30" s="161">
        <f t="shared" si="17"/>
        <v>0</v>
      </c>
      <c r="AT30" s="161">
        <f t="shared" si="18"/>
        <v>0</v>
      </c>
      <c r="AU30" s="161">
        <f t="shared" si="19"/>
        <v>0</v>
      </c>
      <c r="AV30" s="161">
        <f t="shared" si="20"/>
        <v>0</v>
      </c>
      <c r="AW30" s="161">
        <f t="shared" si="21"/>
        <v>0</v>
      </c>
      <c r="AX30" s="161">
        <f t="shared" si="22"/>
        <v>0</v>
      </c>
      <c r="AY30" s="161">
        <f t="shared" si="23"/>
        <v>0</v>
      </c>
      <c r="BD30" s="186" t="str">
        <f t="shared" si="42"/>
        <v>2BOMBEIROS MG</v>
      </c>
      <c r="BE30" s="186">
        <f t="shared" si="43"/>
        <v>2</v>
      </c>
      <c r="BF30" s="209" t="str">
        <f>'Base tabelas'!A9</f>
        <v>BOMBEIROS MG</v>
      </c>
      <c r="BG30" s="209" t="str">
        <f>'Base tabelas'!B9</f>
        <v>765613 - Tabela 3</v>
      </c>
      <c r="BH30" s="209">
        <f>'Base tabelas'!C9</f>
        <v>1.9400000000000001E-2</v>
      </c>
      <c r="BI30" s="209">
        <f>'Base tabelas'!D9</f>
        <v>120</v>
      </c>
      <c r="BJ30" s="209" t="str">
        <f>'Base tabelas'!E9</f>
        <v/>
      </c>
      <c r="BK30" s="209">
        <f>'Base tabelas'!F9</f>
        <v>2.4</v>
      </c>
      <c r="BL30" s="209">
        <f>'Base tabelas'!G9</f>
        <v>7</v>
      </c>
      <c r="BM30" s="209">
        <f>'Base tabelas'!H9</f>
        <v>41</v>
      </c>
      <c r="BN30" s="209" t="str">
        <f>'Base tabelas'!I9</f>
        <v>RFN - BOMBEIROS 3 DIG PORTABILIDADE</v>
      </c>
      <c r="BO30" s="209" t="str">
        <f>'Base tabelas'!J9</f>
        <v>1,64</v>
      </c>
      <c r="BP30" s="209">
        <f>'Base tabelas'!K9</f>
        <v>1.6399999999999998E-2</v>
      </c>
      <c r="BQ30" s="277">
        <f t="shared" si="57"/>
        <v>2.2355143650368767E-2</v>
      </c>
      <c r="BR30" s="278">
        <f t="shared" si="58"/>
        <v>2.4E-2</v>
      </c>
      <c r="BS30" s="279">
        <v>2.9999999999999997E-4</v>
      </c>
      <c r="BU30" s="118" t="s">
        <v>94</v>
      </c>
      <c r="BV30" s="161">
        <v>52</v>
      </c>
    </row>
    <row r="31" spans="2:115" ht="27.75" customHeight="1" thickBot="1" x14ac:dyDescent="0.3">
      <c r="B31"/>
      <c r="C31" s="146" t="s">
        <v>520</v>
      </c>
      <c r="D31" s="117">
        <v>4</v>
      </c>
      <c r="E31" s="41" t="str">
        <f t="shared" si="59"/>
        <v>INSS</v>
      </c>
      <c r="F31" s="56" t="str">
        <f t="shared" si="66"/>
        <v>815084 - Tabela 4</v>
      </c>
      <c r="G31" s="74">
        <f t="shared" si="67"/>
        <v>1.7500000000000002E-2</v>
      </c>
      <c r="H31" s="58">
        <f t="shared" si="68"/>
        <v>2.3815130011921141E-2</v>
      </c>
      <c r="I31" s="75">
        <f t="shared" ca="1" si="60"/>
        <v>29302.977807833719</v>
      </c>
      <c r="J31" s="76">
        <f t="shared" ca="1" si="61"/>
        <v>2588.86</v>
      </c>
      <c r="K31" s="101">
        <f t="shared" ca="1" si="62"/>
        <v>25893.224898864999</v>
      </c>
      <c r="L31" s="102" t="str">
        <f t="shared" ca="1" si="69"/>
        <v>TAB disponivel</v>
      </c>
      <c r="M31" s="132" t="str">
        <f t="shared" ca="1" si="63"/>
        <v>Gera Reassinatura</v>
      </c>
      <c r="N31" s="126">
        <f t="shared" ca="1" si="64"/>
        <v>9114.0355391364737</v>
      </c>
      <c r="O31" s="127">
        <f t="shared" ca="1" si="70"/>
        <v>19900</v>
      </c>
      <c r="P31" s="171">
        <f t="shared" ref="P31:P34" ca="1" si="71">N31/K31-1</f>
        <v>-0.64801466118127382</v>
      </c>
      <c r="Q31" s="161">
        <v>13</v>
      </c>
      <c r="R31" s="161">
        <f t="shared" si="47"/>
        <v>56.62</v>
      </c>
      <c r="S31" s="161">
        <f t="shared" si="48"/>
        <v>0</v>
      </c>
      <c r="T31" s="161">
        <f t="shared" si="49"/>
        <v>0</v>
      </c>
      <c r="U31" s="161">
        <f t="shared" si="50"/>
        <v>0</v>
      </c>
      <c r="V31" s="161">
        <f t="shared" si="51"/>
        <v>0</v>
      </c>
      <c r="W31" s="161">
        <f t="shared" si="52"/>
        <v>0</v>
      </c>
      <c r="X31" s="161">
        <f t="shared" si="53"/>
        <v>0</v>
      </c>
      <c r="Y31" s="161">
        <f t="shared" si="54"/>
        <v>0</v>
      </c>
      <c r="Z31" s="161">
        <f t="shared" si="55"/>
        <v>0</v>
      </c>
      <c r="AA31" s="161">
        <f t="shared" si="56"/>
        <v>0</v>
      </c>
      <c r="AB31" s="161"/>
      <c r="AC31" s="168">
        <v>13</v>
      </c>
      <c r="AD31" s="213">
        <f t="shared" ca="1" si="39"/>
        <v>45545</v>
      </c>
      <c r="AE31" s="260">
        <f t="shared" si="13"/>
        <v>56.62</v>
      </c>
      <c r="AF31" s="168"/>
      <c r="AG31" s="233">
        <v>13</v>
      </c>
      <c r="AH31" s="213">
        <f t="shared" ca="1" si="40"/>
        <v>45545</v>
      </c>
      <c r="AI31" s="260">
        <f t="shared" ca="1" si="35"/>
        <v>619.79</v>
      </c>
      <c r="AJ31" s="215">
        <f t="shared" ca="1" si="36"/>
        <v>488.94572304766615</v>
      </c>
      <c r="AK31" s="168">
        <v>13</v>
      </c>
      <c r="AL31" s="213">
        <f t="shared" ca="1" si="41"/>
        <v>45545</v>
      </c>
      <c r="AM31" s="260">
        <f t="shared" ca="1" si="37"/>
        <v>676.41</v>
      </c>
      <c r="AN31" s="161"/>
      <c r="AO31" s="161">
        <v>13</v>
      </c>
      <c r="AP31" s="117">
        <f t="shared" si="14"/>
        <v>56.62</v>
      </c>
      <c r="AQ31" s="117">
        <f t="shared" si="15"/>
        <v>0</v>
      </c>
      <c r="AR31" s="117">
        <f t="shared" si="16"/>
        <v>0</v>
      </c>
      <c r="AS31" s="161">
        <f t="shared" si="17"/>
        <v>0</v>
      </c>
      <c r="AT31" s="161">
        <f t="shared" si="18"/>
        <v>0</v>
      </c>
      <c r="AU31" s="161">
        <f t="shared" si="19"/>
        <v>0</v>
      </c>
      <c r="AV31" s="161">
        <f t="shared" si="20"/>
        <v>0</v>
      </c>
      <c r="AW31" s="161">
        <f t="shared" si="21"/>
        <v>0</v>
      </c>
      <c r="AX31" s="161">
        <f t="shared" si="22"/>
        <v>0</v>
      </c>
      <c r="AY31" s="161">
        <f t="shared" si="23"/>
        <v>0</v>
      </c>
      <c r="BD31" s="186" t="str">
        <f t="shared" si="42"/>
        <v>3BOMBEIROS MG</v>
      </c>
      <c r="BE31" s="186">
        <f t="shared" si="43"/>
        <v>3</v>
      </c>
      <c r="BF31" s="209" t="str">
        <f>'Base tabelas'!A10</f>
        <v>BOMBEIROS MG</v>
      </c>
      <c r="BG31" s="209" t="str">
        <f>'Base tabelas'!B10</f>
        <v>765614 - Tabela 4</v>
      </c>
      <c r="BH31" s="209">
        <f>'Base tabelas'!C10</f>
        <v>1.7899999999999999E-2</v>
      </c>
      <c r="BI31" s="209">
        <f>'Base tabelas'!D10</f>
        <v>120</v>
      </c>
      <c r="BJ31" s="209" t="str">
        <f>'Base tabelas'!E10</f>
        <v/>
      </c>
      <c r="BK31" s="209">
        <f>'Base tabelas'!F10</f>
        <v>2.4</v>
      </c>
      <c r="BL31" s="209">
        <f>'Base tabelas'!G10</f>
        <v>7</v>
      </c>
      <c r="BM31" s="209">
        <f>'Base tabelas'!H10</f>
        <v>51</v>
      </c>
      <c r="BN31" s="209" t="str">
        <f>'Base tabelas'!I10</f>
        <v>RFN - BOMBEIROS 4 DIG PORTABILIDADE</v>
      </c>
      <c r="BO31" s="209" t="str">
        <f>'Base tabelas'!J10</f>
        <v>1,64</v>
      </c>
      <c r="BP31" s="209">
        <f>'Base tabelas'!K10</f>
        <v>1.6399999999999998E-2</v>
      </c>
      <c r="BQ31" s="277">
        <f t="shared" si="57"/>
        <v>2.1191314714692593E-2</v>
      </c>
      <c r="BR31" s="278">
        <f t="shared" si="58"/>
        <v>2.4E-2</v>
      </c>
      <c r="BS31" s="279">
        <v>2.9999999999999997E-4</v>
      </c>
      <c r="BU31" s="118" t="s">
        <v>139</v>
      </c>
      <c r="BV31" s="161">
        <v>69</v>
      </c>
    </row>
    <row r="32" spans="2:115" ht="27.75" customHeight="1" thickBot="1" x14ac:dyDescent="0.3">
      <c r="B32"/>
      <c r="C32" s="9"/>
      <c r="D32" s="117">
        <v>5</v>
      </c>
      <c r="E32" s="41" t="str">
        <f t="shared" si="59"/>
        <v>INSS</v>
      </c>
      <c r="F32" s="56" t="str">
        <f t="shared" si="66"/>
        <v>815085 - Tabela 5</v>
      </c>
      <c r="G32" s="74">
        <f>IFERROR(VLOOKUP(F32,$BG$23:$BH$198,2,0),"")</f>
        <v>1.7000000000000001E-2</v>
      </c>
      <c r="H32" s="58">
        <f t="shared" si="68"/>
        <v>2.3425724784414358E-2</v>
      </c>
      <c r="I32" s="75">
        <f t="shared" ca="1" si="60"/>
        <v>29790.080462923284</v>
      </c>
      <c r="J32" s="76">
        <f t="shared" ca="1" si="61"/>
        <v>2588.86</v>
      </c>
      <c r="K32" s="101">
        <f t="shared" ca="1" si="62"/>
        <v>26365.359471595297</v>
      </c>
      <c r="L32" s="102" t="str">
        <f t="shared" ca="1" si="69"/>
        <v>TAB disponivel</v>
      </c>
      <c r="M32" s="132" t="str">
        <f t="shared" ca="1" si="63"/>
        <v>Gera Reassinatura</v>
      </c>
      <c r="N32" s="126">
        <f t="shared" ca="1" si="64"/>
        <v>9586.1701118667715</v>
      </c>
      <c r="O32" s="127">
        <f t="shared" ca="1" si="70"/>
        <v>19900</v>
      </c>
      <c r="P32" s="171">
        <f t="shared" ca="1" si="71"/>
        <v>-0.63641041487811212</v>
      </c>
      <c r="Q32" s="161">
        <v>14</v>
      </c>
      <c r="R32" s="161">
        <f t="shared" si="47"/>
        <v>56.62</v>
      </c>
      <c r="S32" s="161">
        <f t="shared" si="48"/>
        <v>0</v>
      </c>
      <c r="T32" s="161">
        <f t="shared" si="49"/>
        <v>0</v>
      </c>
      <c r="U32" s="161">
        <f t="shared" si="50"/>
        <v>0</v>
      </c>
      <c r="V32" s="161">
        <f t="shared" si="51"/>
        <v>0</v>
      </c>
      <c r="W32" s="161">
        <f t="shared" si="52"/>
        <v>0</v>
      </c>
      <c r="X32" s="161">
        <f t="shared" si="53"/>
        <v>0</v>
      </c>
      <c r="Y32" s="161">
        <f t="shared" si="54"/>
        <v>0</v>
      </c>
      <c r="Z32" s="161">
        <f t="shared" si="55"/>
        <v>0</v>
      </c>
      <c r="AA32" s="161">
        <f t="shared" si="56"/>
        <v>0</v>
      </c>
      <c r="AB32" s="161"/>
      <c r="AC32" s="168">
        <v>14</v>
      </c>
      <c r="AD32" s="213">
        <f t="shared" ca="1" si="39"/>
        <v>45575</v>
      </c>
      <c r="AE32" s="260">
        <f t="shared" si="13"/>
        <v>56.62</v>
      </c>
      <c r="AF32" s="168"/>
      <c r="AG32" s="233">
        <v>14</v>
      </c>
      <c r="AH32" s="213">
        <f t="shared" ca="1" si="40"/>
        <v>45575</v>
      </c>
      <c r="AI32" s="260">
        <f t="shared" ca="1" si="35"/>
        <v>619.79</v>
      </c>
      <c r="AJ32" s="215">
        <f t="shared" ca="1" si="36"/>
        <v>479.78188896837037</v>
      </c>
      <c r="AK32" s="168">
        <v>14</v>
      </c>
      <c r="AL32" s="213">
        <f t="shared" ca="1" si="41"/>
        <v>45575</v>
      </c>
      <c r="AM32" s="260">
        <f t="shared" ca="1" si="37"/>
        <v>676.41</v>
      </c>
      <c r="AN32" s="161"/>
      <c r="AO32" s="161">
        <v>14</v>
      </c>
      <c r="AP32" s="117">
        <f t="shared" si="14"/>
        <v>56.62</v>
      </c>
      <c r="AQ32" s="117">
        <f t="shared" si="15"/>
        <v>0</v>
      </c>
      <c r="AR32" s="117">
        <f t="shared" si="16"/>
        <v>0</v>
      </c>
      <c r="AS32" s="161">
        <f t="shared" si="17"/>
        <v>0</v>
      </c>
      <c r="AT32" s="161">
        <f t="shared" si="18"/>
        <v>0</v>
      </c>
      <c r="AU32" s="161">
        <f t="shared" si="19"/>
        <v>0</v>
      </c>
      <c r="AV32" s="161">
        <f t="shared" si="20"/>
        <v>0</v>
      </c>
      <c r="AW32" s="161">
        <f t="shared" si="21"/>
        <v>0</v>
      </c>
      <c r="AX32" s="161">
        <f t="shared" si="22"/>
        <v>0</v>
      </c>
      <c r="AY32" s="161">
        <f t="shared" si="23"/>
        <v>0</v>
      </c>
      <c r="BD32" s="186" t="str">
        <f t="shared" si="42"/>
        <v>1DEMAE</v>
      </c>
      <c r="BE32" s="186">
        <f t="shared" si="43"/>
        <v>1</v>
      </c>
      <c r="BF32" s="209" t="str">
        <f>'Base tabelas'!A11</f>
        <v>DEMAE</v>
      </c>
      <c r="BG32" s="209" t="str">
        <f>'Base tabelas'!B11</f>
        <v>795831 - Tabela 1</v>
      </c>
      <c r="BH32" s="209">
        <f>'Base tabelas'!C11</f>
        <v>2.0400000000000001E-2</v>
      </c>
      <c r="BI32" s="209">
        <f>'Base tabelas'!D11</f>
        <v>96</v>
      </c>
      <c r="BJ32" s="209" t="str">
        <f>'Base tabelas'!E11</f>
        <v/>
      </c>
      <c r="BK32" s="209">
        <f>'Base tabelas'!F11</f>
        <v>2.4</v>
      </c>
      <c r="BL32" s="209">
        <f>'Base tabelas'!G11</f>
        <v>25</v>
      </c>
      <c r="BM32" s="209">
        <f>'Base tabelas'!H11</f>
        <v>45</v>
      </c>
      <c r="BN32" s="209" t="str">
        <f>'Base tabelas'!I11</f>
        <v>RFN - DEMAE UBERLANDIA 1 PORTAB DIG</v>
      </c>
      <c r="BO32" s="209" t="str">
        <f>'Base tabelas'!J11</f>
        <v>1,55</v>
      </c>
      <c r="BP32" s="209">
        <f>'Base tabelas'!K11</f>
        <v>1.55E-2</v>
      </c>
      <c r="BQ32" s="277">
        <f t="shared" si="57"/>
        <v>2.4796807002297968E-2</v>
      </c>
      <c r="BR32" s="278">
        <f t="shared" si="58"/>
        <v>2.4E-2</v>
      </c>
      <c r="BS32" s="279">
        <v>2.9999999999999997E-4</v>
      </c>
      <c r="BU32" s="118" t="s">
        <v>142</v>
      </c>
      <c r="BV32" s="161">
        <v>54</v>
      </c>
    </row>
    <row r="33" spans="2:115" s="19" customFormat="1" ht="24.75" customHeight="1" thickBot="1" x14ac:dyDescent="0.3">
      <c r="C33" s="9"/>
      <c r="D33" s="117">
        <v>6</v>
      </c>
      <c r="E33" s="41" t="str">
        <f t="shared" si="59"/>
        <v>INSS</v>
      </c>
      <c r="F33" s="56" t="str">
        <f t="shared" si="66"/>
        <v>815086 - Tabela 6</v>
      </c>
      <c r="G33" s="74">
        <f t="shared" si="67"/>
        <v>1.6500000000000001E-2</v>
      </c>
      <c r="H33" s="58">
        <f t="shared" si="68"/>
        <v>2.3039528890469323E-2</v>
      </c>
      <c r="I33" s="75">
        <f t="shared" ca="1" si="60"/>
        <v>30289.431244346266</v>
      </c>
      <c r="J33" s="76">
        <f t="shared" ca="1" si="61"/>
        <v>2588.86</v>
      </c>
      <c r="K33" s="101">
        <f t="shared" ca="1" si="62"/>
        <v>26849.365800376916</v>
      </c>
      <c r="L33" s="102" t="str">
        <f t="shared" ca="1" si="69"/>
        <v>TAB disponivel</v>
      </c>
      <c r="M33" s="132" t="str">
        <f t="shared" ca="1" si="63"/>
        <v>Gera Reassinatura</v>
      </c>
      <c r="N33" s="126">
        <f t="shared" ca="1" si="64"/>
        <v>10070.176440648389</v>
      </c>
      <c r="O33" s="127">
        <f t="shared" ca="1" si="70"/>
        <v>19900</v>
      </c>
      <c r="P33" s="171">
        <f t="shared" ca="1" si="71"/>
        <v>-0.62493801471813448</v>
      </c>
      <c r="Q33" s="176">
        <v>15</v>
      </c>
      <c r="R33" s="176">
        <f t="shared" si="47"/>
        <v>56.62</v>
      </c>
      <c r="S33" s="176">
        <f t="shared" si="48"/>
        <v>0</v>
      </c>
      <c r="T33" s="176">
        <f t="shared" si="49"/>
        <v>0</v>
      </c>
      <c r="U33" s="176">
        <f t="shared" si="50"/>
        <v>0</v>
      </c>
      <c r="V33" s="176">
        <f t="shared" si="51"/>
        <v>0</v>
      </c>
      <c r="W33" s="176">
        <f t="shared" si="52"/>
        <v>0</v>
      </c>
      <c r="X33" s="176">
        <f t="shared" si="53"/>
        <v>0</v>
      </c>
      <c r="Y33" s="176">
        <f t="shared" si="54"/>
        <v>0</v>
      </c>
      <c r="Z33" s="176">
        <f t="shared" si="55"/>
        <v>0</v>
      </c>
      <c r="AA33" s="176">
        <f t="shared" si="56"/>
        <v>0</v>
      </c>
      <c r="AB33" s="176"/>
      <c r="AC33" s="182">
        <v>15</v>
      </c>
      <c r="AD33" s="206">
        <f t="shared" ca="1" si="39"/>
        <v>45606</v>
      </c>
      <c r="AE33" s="270">
        <f t="shared" si="13"/>
        <v>56.62</v>
      </c>
      <c r="AF33" s="182"/>
      <c r="AG33" s="217">
        <v>15</v>
      </c>
      <c r="AH33" s="206">
        <f t="shared" ca="1" si="40"/>
        <v>45606</v>
      </c>
      <c r="AI33" s="270">
        <f t="shared" ca="1" si="35"/>
        <v>619.79</v>
      </c>
      <c r="AJ33" s="178">
        <f t="shared" ca="1" si="36"/>
        <v>470.49298769342084</v>
      </c>
      <c r="AK33" s="182">
        <v>15</v>
      </c>
      <c r="AL33" s="206">
        <f t="shared" ca="1" si="41"/>
        <v>45606</v>
      </c>
      <c r="AM33" s="270">
        <f t="shared" ca="1" si="37"/>
        <v>676.41</v>
      </c>
      <c r="AN33" s="176"/>
      <c r="AO33" s="176">
        <v>15</v>
      </c>
      <c r="AP33" s="186">
        <f t="shared" si="14"/>
        <v>56.62</v>
      </c>
      <c r="AQ33" s="186">
        <f t="shared" si="15"/>
        <v>0</v>
      </c>
      <c r="AR33" s="186">
        <f t="shared" si="16"/>
        <v>0</v>
      </c>
      <c r="AS33" s="176">
        <f t="shared" si="17"/>
        <v>0</v>
      </c>
      <c r="AT33" s="176">
        <f t="shared" si="18"/>
        <v>0</v>
      </c>
      <c r="AU33" s="176">
        <f t="shared" si="19"/>
        <v>0</v>
      </c>
      <c r="AV33" s="176">
        <f t="shared" si="20"/>
        <v>0</v>
      </c>
      <c r="AW33" s="176">
        <f t="shared" si="21"/>
        <v>0</v>
      </c>
      <c r="AX33" s="176">
        <f t="shared" si="22"/>
        <v>0</v>
      </c>
      <c r="AY33" s="176">
        <f t="shared" si="23"/>
        <v>0</v>
      </c>
      <c r="AZ33" s="176"/>
      <c r="BA33" s="176"/>
      <c r="BB33" s="176"/>
      <c r="BC33" s="176"/>
      <c r="BD33" s="186" t="str">
        <f t="shared" si="42"/>
        <v>1EXERCITO</v>
      </c>
      <c r="BE33" s="186">
        <f t="shared" si="43"/>
        <v>1</v>
      </c>
      <c r="BF33" s="209" t="str">
        <f>'Base tabelas'!A12</f>
        <v>EXERCITO</v>
      </c>
      <c r="BG33" s="209" t="str">
        <f>'Base tabelas'!B12</f>
        <v>795032 - Tabela 1</v>
      </c>
      <c r="BH33" s="209">
        <f>'Base tabelas'!C12</f>
        <v>1.95E-2</v>
      </c>
      <c r="BI33" s="209">
        <f>'Base tabelas'!D12</f>
        <v>72</v>
      </c>
      <c r="BJ33" s="209" t="str">
        <f>'Base tabelas'!E12</f>
        <v/>
      </c>
      <c r="BK33" s="209">
        <f>'Base tabelas'!F12</f>
        <v>2</v>
      </c>
      <c r="BL33" s="209">
        <f>'Base tabelas'!G12</f>
        <v>2</v>
      </c>
      <c r="BM33" s="209">
        <f>'Base tabelas'!H12</f>
        <v>46</v>
      </c>
      <c r="BN33" s="209" t="str">
        <f>'Base tabelas'!I12</f>
        <v>RFN - EXERCITO DIG PORTABILIDADE 1</v>
      </c>
      <c r="BO33" s="209" t="str">
        <f>'Base tabelas'!J12</f>
        <v>1,3</v>
      </c>
      <c r="BP33" s="209">
        <f>'Base tabelas'!K12</f>
        <v>1.3000000000000001E-2</v>
      </c>
      <c r="BQ33" s="277">
        <f t="shared" si="57"/>
        <v>2.7024039617343877E-2</v>
      </c>
      <c r="BR33" s="278">
        <v>2.0500000000000001E-2</v>
      </c>
      <c r="BS33" s="279">
        <v>2.9999999999999997E-4</v>
      </c>
      <c r="BT33" s="176"/>
      <c r="BU33" s="118" t="s">
        <v>96</v>
      </c>
      <c r="BV33" s="161">
        <v>54.5</v>
      </c>
      <c r="BW33" s="161"/>
      <c r="BX33" s="161"/>
      <c r="BY33" s="161"/>
      <c r="BZ33" s="161"/>
      <c r="CA33" s="161"/>
      <c r="CB33" s="161"/>
      <c r="CC33" s="161"/>
      <c r="CD33" s="161"/>
      <c r="CE33" s="161"/>
      <c r="CF33" s="161"/>
      <c r="CG33" s="161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</row>
    <row r="34" spans="2:115" s="19" customFormat="1" ht="27.75" customHeight="1" thickBot="1" x14ac:dyDescent="0.3">
      <c r="C34"/>
      <c r="D34" s="117">
        <v>7</v>
      </c>
      <c r="E34" s="41" t="str">
        <f t="shared" si="59"/>
        <v>INSS</v>
      </c>
      <c r="F34" s="56" t="str">
        <f t="shared" si="66"/>
        <v/>
      </c>
      <c r="G34" s="74" t="str">
        <f t="shared" si="67"/>
        <v/>
      </c>
      <c r="H34" s="58" t="str">
        <f t="shared" si="68"/>
        <v/>
      </c>
      <c r="I34" s="75" t="str">
        <f t="shared" ca="1" si="60"/>
        <v/>
      </c>
      <c r="J34" s="76" t="str">
        <f t="shared" si="61"/>
        <v/>
      </c>
      <c r="K34" s="101" t="str">
        <f t="shared" si="62"/>
        <v/>
      </c>
      <c r="L34" s="102" t="str">
        <f t="shared" si="69"/>
        <v/>
      </c>
      <c r="M34" s="132" t="str">
        <f t="shared" si="63"/>
        <v>Gera Reassinatura</v>
      </c>
      <c r="N34" s="126" t="str">
        <f t="shared" si="64"/>
        <v/>
      </c>
      <c r="O34" s="127">
        <f t="shared" ca="1" si="70"/>
        <v>19900</v>
      </c>
      <c r="P34" s="171" t="e">
        <f t="shared" si="71"/>
        <v>#VALUE!</v>
      </c>
      <c r="Q34" s="176">
        <v>16</v>
      </c>
      <c r="R34" s="176">
        <f t="shared" si="47"/>
        <v>56.62</v>
      </c>
      <c r="S34" s="176">
        <f t="shared" si="48"/>
        <v>0</v>
      </c>
      <c r="T34" s="176">
        <f t="shared" si="49"/>
        <v>0</v>
      </c>
      <c r="U34" s="176">
        <f t="shared" si="50"/>
        <v>0</v>
      </c>
      <c r="V34" s="176">
        <f t="shared" si="51"/>
        <v>0</v>
      </c>
      <c r="W34" s="176">
        <f t="shared" si="52"/>
        <v>0</v>
      </c>
      <c r="X34" s="176">
        <f t="shared" si="53"/>
        <v>0</v>
      </c>
      <c r="Y34" s="176">
        <f t="shared" si="54"/>
        <v>0</v>
      </c>
      <c r="Z34" s="176">
        <f t="shared" si="55"/>
        <v>0</v>
      </c>
      <c r="AA34" s="176">
        <f t="shared" si="56"/>
        <v>0</v>
      </c>
      <c r="AB34" s="176"/>
      <c r="AC34" s="182">
        <v>16</v>
      </c>
      <c r="AD34" s="206">
        <f t="shared" ca="1" si="39"/>
        <v>45636</v>
      </c>
      <c r="AE34" s="270">
        <f t="shared" si="13"/>
        <v>56.62</v>
      </c>
      <c r="AF34" s="182"/>
      <c r="AG34" s="217">
        <v>16</v>
      </c>
      <c r="AH34" s="206">
        <f t="shared" ca="1" si="40"/>
        <v>45636</v>
      </c>
      <c r="AI34" s="270">
        <f t="shared" ca="1" si="35"/>
        <v>619.79</v>
      </c>
      <c r="AJ34" s="178">
        <f t="shared" ca="1" si="36"/>
        <v>461.67499528350595</v>
      </c>
      <c r="AK34" s="182">
        <v>16</v>
      </c>
      <c r="AL34" s="206">
        <f t="shared" ca="1" si="41"/>
        <v>45636</v>
      </c>
      <c r="AM34" s="270">
        <f t="shared" ca="1" si="37"/>
        <v>676.41</v>
      </c>
      <c r="AN34" s="176"/>
      <c r="AO34" s="176">
        <v>16</v>
      </c>
      <c r="AP34" s="186">
        <f t="shared" si="14"/>
        <v>56.62</v>
      </c>
      <c r="AQ34" s="186">
        <f t="shared" si="15"/>
        <v>0</v>
      </c>
      <c r="AR34" s="186">
        <f t="shared" si="16"/>
        <v>0</v>
      </c>
      <c r="AS34" s="176">
        <f t="shared" si="17"/>
        <v>0</v>
      </c>
      <c r="AT34" s="176">
        <f t="shared" si="18"/>
        <v>0</v>
      </c>
      <c r="AU34" s="176">
        <f t="shared" si="19"/>
        <v>0</v>
      </c>
      <c r="AV34" s="176">
        <f t="shared" si="20"/>
        <v>0</v>
      </c>
      <c r="AW34" s="176">
        <f t="shared" si="21"/>
        <v>0</v>
      </c>
      <c r="AX34" s="176">
        <f t="shared" si="22"/>
        <v>0</v>
      </c>
      <c r="AY34" s="176">
        <f t="shared" si="23"/>
        <v>0</v>
      </c>
      <c r="AZ34" s="176"/>
      <c r="BA34" s="176"/>
      <c r="BB34" s="176"/>
      <c r="BC34" s="176"/>
      <c r="BD34" s="186" t="str">
        <f t="shared" si="42"/>
        <v>2EXERCITO</v>
      </c>
      <c r="BE34" s="186">
        <f t="shared" si="43"/>
        <v>2</v>
      </c>
      <c r="BF34" s="209" t="str">
        <f>'Base tabelas'!A13</f>
        <v>EXERCITO</v>
      </c>
      <c r="BG34" s="209" t="str">
        <f>'Base tabelas'!B13</f>
        <v>795033 - Tabela 2</v>
      </c>
      <c r="BH34" s="209">
        <f>'Base tabelas'!C13</f>
        <v>1.8500000000000003E-2</v>
      </c>
      <c r="BI34" s="209">
        <f>'Base tabelas'!D13</f>
        <v>72</v>
      </c>
      <c r="BJ34" s="209" t="str">
        <f>'Base tabelas'!E13</f>
        <v/>
      </c>
      <c r="BK34" s="209">
        <f>'Base tabelas'!F13</f>
        <v>2</v>
      </c>
      <c r="BL34" s="209">
        <f>'Base tabelas'!G13</f>
        <v>2</v>
      </c>
      <c r="BM34" s="209">
        <f>'Base tabelas'!H13</f>
        <v>46</v>
      </c>
      <c r="BN34" s="209" t="str">
        <f>'Base tabelas'!I13</f>
        <v>RFN - EXERCITO DIG PORTABILIDADE 2</v>
      </c>
      <c r="BO34" s="209" t="str">
        <f>'Base tabelas'!J13</f>
        <v>1,3</v>
      </c>
      <c r="BP34" s="209">
        <f>'Base tabelas'!K13</f>
        <v>1.3000000000000001E-2</v>
      </c>
      <c r="BQ34" s="277">
        <f t="shared" si="57"/>
        <v>2.6262121179465997E-2</v>
      </c>
      <c r="BR34" s="278">
        <v>2.0500000000000001E-2</v>
      </c>
      <c r="BS34" s="279">
        <v>2.9999999999999997E-4</v>
      </c>
      <c r="BT34" s="176"/>
      <c r="BU34" s="118" t="s">
        <v>143</v>
      </c>
      <c r="BV34" s="161">
        <v>63</v>
      </c>
      <c r="BW34" s="161"/>
      <c r="BX34" s="161"/>
      <c r="BY34" s="161"/>
      <c r="BZ34" s="161"/>
      <c r="CA34" s="161"/>
      <c r="CB34" s="161"/>
      <c r="CC34" s="161"/>
      <c r="CD34" s="161"/>
      <c r="CE34" s="161"/>
      <c r="CF34" s="161"/>
      <c r="CG34" s="161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</row>
    <row r="35" spans="2:115" s="19" customFormat="1" ht="21" customHeight="1" x14ac:dyDescent="0.25">
      <c r="G35" s="109"/>
      <c r="H35" s="110"/>
      <c r="I35" s="111"/>
      <c r="J35" s="108"/>
      <c r="K35" s="70"/>
      <c r="L35" s="70"/>
      <c r="M35" s="70"/>
      <c r="N35" s="70"/>
      <c r="O35" s="211"/>
      <c r="P35" s="211"/>
      <c r="Q35" s="176">
        <v>17</v>
      </c>
      <c r="R35" s="176">
        <f t="shared" si="47"/>
        <v>56.62</v>
      </c>
      <c r="S35" s="176">
        <f t="shared" si="48"/>
        <v>0</v>
      </c>
      <c r="T35" s="176">
        <f t="shared" si="49"/>
        <v>0</v>
      </c>
      <c r="U35" s="176">
        <f t="shared" si="50"/>
        <v>0</v>
      </c>
      <c r="V35" s="176">
        <f t="shared" si="51"/>
        <v>0</v>
      </c>
      <c r="W35" s="176">
        <f t="shared" si="52"/>
        <v>0</v>
      </c>
      <c r="X35" s="176">
        <f t="shared" si="53"/>
        <v>0</v>
      </c>
      <c r="Y35" s="176">
        <f t="shared" si="54"/>
        <v>0</v>
      </c>
      <c r="Z35" s="176">
        <f t="shared" si="55"/>
        <v>0</v>
      </c>
      <c r="AA35" s="176">
        <f t="shared" si="56"/>
        <v>0</v>
      </c>
      <c r="AB35" s="176"/>
      <c r="AC35" s="182">
        <v>17</v>
      </c>
      <c r="AD35" s="206">
        <f t="shared" ca="1" si="39"/>
        <v>45667</v>
      </c>
      <c r="AE35" s="270">
        <f t="shared" si="13"/>
        <v>56.62</v>
      </c>
      <c r="AF35" s="182"/>
      <c r="AG35" s="217">
        <v>17</v>
      </c>
      <c r="AH35" s="206">
        <f t="shared" ca="1" si="40"/>
        <v>45667</v>
      </c>
      <c r="AI35" s="270">
        <f t="shared" ca="1" si="35"/>
        <v>619.79</v>
      </c>
      <c r="AJ35" s="178">
        <f t="shared" ca="1" si="36"/>
        <v>452.73665569440146</v>
      </c>
      <c r="AK35" s="182">
        <v>17</v>
      </c>
      <c r="AL35" s="206">
        <f t="shared" ca="1" si="41"/>
        <v>45667</v>
      </c>
      <c r="AM35" s="270">
        <f t="shared" ca="1" si="37"/>
        <v>676.41</v>
      </c>
      <c r="AN35" s="176"/>
      <c r="AO35" s="176">
        <v>17</v>
      </c>
      <c r="AP35" s="186">
        <f t="shared" si="14"/>
        <v>56.62</v>
      </c>
      <c r="AQ35" s="186">
        <f t="shared" si="15"/>
        <v>0</v>
      </c>
      <c r="AR35" s="186">
        <f t="shared" si="16"/>
        <v>0</v>
      </c>
      <c r="AS35" s="176">
        <f t="shared" si="17"/>
        <v>0</v>
      </c>
      <c r="AT35" s="176">
        <f t="shared" si="18"/>
        <v>0</v>
      </c>
      <c r="AU35" s="176">
        <f t="shared" si="19"/>
        <v>0</v>
      </c>
      <c r="AV35" s="176">
        <f t="shared" si="20"/>
        <v>0</v>
      </c>
      <c r="AW35" s="176">
        <f t="shared" si="21"/>
        <v>0</v>
      </c>
      <c r="AX35" s="176">
        <f t="shared" si="22"/>
        <v>0</v>
      </c>
      <c r="AY35" s="176">
        <f t="shared" si="23"/>
        <v>0</v>
      </c>
      <c r="AZ35" s="176"/>
      <c r="BA35" s="176"/>
      <c r="BB35" s="176"/>
      <c r="BC35" s="176"/>
      <c r="BD35" s="186" t="str">
        <f t="shared" si="42"/>
        <v>3EXERCITO</v>
      </c>
      <c r="BE35" s="186">
        <f t="shared" si="43"/>
        <v>3</v>
      </c>
      <c r="BF35" s="209" t="str">
        <f>'Base tabelas'!A14</f>
        <v>EXERCITO</v>
      </c>
      <c r="BG35" s="209" t="str">
        <f>'Base tabelas'!B14</f>
        <v>795034 - Tabela 3</v>
      </c>
      <c r="BH35" s="209">
        <f>'Base tabelas'!C14</f>
        <v>1.7500000000000002E-2</v>
      </c>
      <c r="BI35" s="209">
        <f>'Base tabelas'!D14</f>
        <v>72</v>
      </c>
      <c r="BJ35" s="209" t="str">
        <f>'Base tabelas'!E14</f>
        <v/>
      </c>
      <c r="BK35" s="209">
        <f>'Base tabelas'!F14</f>
        <v>2</v>
      </c>
      <c r="BL35" s="209">
        <f>'Base tabelas'!G14</f>
        <v>2</v>
      </c>
      <c r="BM35" s="209">
        <f>'Base tabelas'!H14</f>
        <v>46</v>
      </c>
      <c r="BN35" s="209" t="str">
        <f>'Base tabelas'!I14</f>
        <v>RFN - EXERCITO DIG PORTABILIDADE 3</v>
      </c>
      <c r="BO35" s="209" t="str">
        <f>'Base tabelas'!J14</f>
        <v>1,3</v>
      </c>
      <c r="BP35" s="209">
        <f>'Base tabelas'!K14</f>
        <v>1.3000000000000001E-2</v>
      </c>
      <c r="BQ35" s="277">
        <f t="shared" si="57"/>
        <v>2.5511203950747206E-2</v>
      </c>
      <c r="BR35" s="278">
        <v>2.0500000000000001E-2</v>
      </c>
      <c r="BS35" s="279">
        <v>2.9999999999999997E-4</v>
      </c>
      <c r="BT35" s="176"/>
      <c r="BU35" s="118" t="s">
        <v>146</v>
      </c>
      <c r="BV35" s="161">
        <v>48.666666666666664</v>
      </c>
      <c r="BW35" s="161"/>
      <c r="BX35" s="161"/>
      <c r="BY35" s="161"/>
      <c r="BZ35" s="161"/>
      <c r="CA35" s="161"/>
      <c r="CB35" s="161"/>
      <c r="CC35" s="161"/>
      <c r="CD35" s="161"/>
      <c r="CE35" s="161"/>
      <c r="CF35" s="161"/>
      <c r="CG35" s="161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</row>
    <row r="36" spans="2:115" s="19" customFormat="1" ht="21" hidden="1" customHeight="1" x14ac:dyDescent="0.25">
      <c r="G36" s="109" t="s">
        <v>56</v>
      </c>
      <c r="H36" s="110"/>
      <c r="I36" s="111"/>
      <c r="J36" s="108"/>
      <c r="K36" s="70"/>
      <c r="L36" s="70"/>
      <c r="M36" s="70"/>
      <c r="N36" s="70"/>
      <c r="O36" s="211"/>
      <c r="P36" s="211"/>
      <c r="Q36" s="176">
        <v>18</v>
      </c>
      <c r="R36" s="176">
        <f t="shared" si="47"/>
        <v>56.62</v>
      </c>
      <c r="S36" s="176">
        <f t="shared" si="48"/>
        <v>0</v>
      </c>
      <c r="T36" s="176">
        <f t="shared" si="49"/>
        <v>0</v>
      </c>
      <c r="U36" s="176">
        <f t="shared" si="50"/>
        <v>0</v>
      </c>
      <c r="V36" s="176">
        <f t="shared" si="51"/>
        <v>0</v>
      </c>
      <c r="W36" s="176">
        <f t="shared" si="52"/>
        <v>0</v>
      </c>
      <c r="X36" s="176">
        <f t="shared" si="53"/>
        <v>0</v>
      </c>
      <c r="Y36" s="176">
        <f t="shared" si="54"/>
        <v>0</v>
      </c>
      <c r="Z36" s="176">
        <f t="shared" si="55"/>
        <v>0</v>
      </c>
      <c r="AA36" s="176">
        <f t="shared" si="56"/>
        <v>0</v>
      </c>
      <c r="AB36" s="176"/>
      <c r="AC36" s="182">
        <v>18</v>
      </c>
      <c r="AD36" s="206">
        <f t="shared" ca="1" si="39"/>
        <v>45698</v>
      </c>
      <c r="AE36" s="270">
        <f t="shared" si="13"/>
        <v>56.62</v>
      </c>
      <c r="AF36" s="182"/>
      <c r="AG36" s="217">
        <v>18</v>
      </c>
      <c r="AH36" s="206">
        <f t="shared" ca="1" si="40"/>
        <v>45698</v>
      </c>
      <c r="AI36" s="270">
        <f t="shared" ca="1" si="35"/>
        <v>619.79</v>
      </c>
      <c r="AJ36" s="178">
        <f t="shared" ca="1" si="36"/>
        <v>443.97136839408546</v>
      </c>
      <c r="AK36" s="182">
        <v>18</v>
      </c>
      <c r="AL36" s="206">
        <f t="shared" ca="1" si="41"/>
        <v>45698</v>
      </c>
      <c r="AM36" s="270">
        <f t="shared" ca="1" si="37"/>
        <v>676.41</v>
      </c>
      <c r="AN36" s="176"/>
      <c r="AO36" s="176">
        <v>18</v>
      </c>
      <c r="AP36" s="186">
        <f t="shared" si="14"/>
        <v>56.62</v>
      </c>
      <c r="AQ36" s="186">
        <f t="shared" si="15"/>
        <v>0</v>
      </c>
      <c r="AR36" s="186">
        <f t="shared" si="16"/>
        <v>0</v>
      </c>
      <c r="AS36" s="176">
        <f t="shared" si="17"/>
        <v>0</v>
      </c>
      <c r="AT36" s="176">
        <f t="shared" si="18"/>
        <v>0</v>
      </c>
      <c r="AU36" s="176">
        <f t="shared" si="19"/>
        <v>0</v>
      </c>
      <c r="AV36" s="176">
        <f t="shared" si="20"/>
        <v>0</v>
      </c>
      <c r="AW36" s="176">
        <f t="shared" si="21"/>
        <v>0</v>
      </c>
      <c r="AX36" s="176">
        <f t="shared" si="22"/>
        <v>0</v>
      </c>
      <c r="AY36" s="176">
        <f t="shared" si="23"/>
        <v>0</v>
      </c>
      <c r="AZ36" s="176"/>
      <c r="BA36" s="176"/>
      <c r="BB36" s="176"/>
      <c r="BC36" s="176"/>
      <c r="BD36" s="186" t="str">
        <f t="shared" si="42"/>
        <v>4EXERCITO</v>
      </c>
      <c r="BE36" s="186">
        <f t="shared" si="43"/>
        <v>4</v>
      </c>
      <c r="BF36" s="209" t="str">
        <f>'Base tabelas'!A15</f>
        <v>EXERCITO</v>
      </c>
      <c r="BG36" s="209" t="str">
        <f>'Base tabelas'!B15</f>
        <v>795040 - Tabela 4</v>
      </c>
      <c r="BH36" s="209">
        <f>'Base tabelas'!C15</f>
        <v>1.6299999999999999E-2</v>
      </c>
      <c r="BI36" s="209">
        <f>'Base tabelas'!D15</f>
        <v>72</v>
      </c>
      <c r="BJ36" s="209" t="str">
        <f>'Base tabelas'!E15</f>
        <v/>
      </c>
      <c r="BK36" s="209">
        <f>'Base tabelas'!F15</f>
        <v>2</v>
      </c>
      <c r="BL36" s="209">
        <f>'Base tabelas'!G15</f>
        <v>2</v>
      </c>
      <c r="BM36" s="209">
        <f>'Base tabelas'!H15</f>
        <v>47</v>
      </c>
      <c r="BN36" s="209" t="str">
        <f>'Base tabelas'!I15</f>
        <v>RFN - EXERCITO DIG PORTABILIDADE 4</v>
      </c>
      <c r="BO36" s="209" t="str">
        <f>'Base tabelas'!J15</f>
        <v>1,3</v>
      </c>
      <c r="BP36" s="209">
        <f>'Base tabelas'!K15</f>
        <v>1.3000000000000001E-2</v>
      </c>
      <c r="BQ36" s="277">
        <f t="shared" si="57"/>
        <v>2.4638155071843849E-2</v>
      </c>
      <c r="BR36" s="278">
        <v>2.0500000000000001E-2</v>
      </c>
      <c r="BS36" s="279">
        <v>2.9999999999999997E-4</v>
      </c>
      <c r="BT36" s="176"/>
      <c r="BU36" s="118" t="s">
        <v>148</v>
      </c>
      <c r="BV36" s="161">
        <v>69</v>
      </c>
      <c r="BW36" s="161"/>
      <c r="BX36" s="161"/>
      <c r="BY36" s="161"/>
      <c r="BZ36" s="161"/>
      <c r="CA36" s="161"/>
      <c r="CB36" s="161"/>
      <c r="CC36" s="161"/>
      <c r="CD36" s="161"/>
      <c r="CE36" s="161"/>
      <c r="CF36" s="161"/>
      <c r="CG36" s="161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</row>
    <row r="37" spans="2:115" s="19" customFormat="1" ht="21" hidden="1" customHeight="1" x14ac:dyDescent="0.25">
      <c r="E37" s="111"/>
      <c r="F37" s="111"/>
      <c r="G37" s="109"/>
      <c r="H37" s="110"/>
      <c r="I37" s="111"/>
      <c r="J37" s="108"/>
      <c r="K37" s="111"/>
      <c r="L37" s="70"/>
      <c r="M37" s="111"/>
      <c r="N37" s="111"/>
      <c r="O37" s="211"/>
      <c r="P37" s="211"/>
      <c r="Q37" s="176">
        <v>19</v>
      </c>
      <c r="R37" s="176">
        <f t="shared" si="47"/>
        <v>56.62</v>
      </c>
      <c r="S37" s="176">
        <f t="shared" si="48"/>
        <v>0</v>
      </c>
      <c r="T37" s="176">
        <f t="shared" si="49"/>
        <v>0</v>
      </c>
      <c r="U37" s="176">
        <f t="shared" si="50"/>
        <v>0</v>
      </c>
      <c r="V37" s="176">
        <f t="shared" si="51"/>
        <v>0</v>
      </c>
      <c r="W37" s="176">
        <f t="shared" si="52"/>
        <v>0</v>
      </c>
      <c r="X37" s="176">
        <f t="shared" si="53"/>
        <v>0</v>
      </c>
      <c r="Y37" s="176">
        <f t="shared" si="54"/>
        <v>0</v>
      </c>
      <c r="Z37" s="176">
        <f t="shared" si="55"/>
        <v>0</v>
      </c>
      <c r="AA37" s="176">
        <f t="shared" si="56"/>
        <v>0</v>
      </c>
      <c r="AB37" s="176"/>
      <c r="AC37" s="182">
        <v>19</v>
      </c>
      <c r="AD37" s="206">
        <f t="shared" ca="1" si="39"/>
        <v>45726</v>
      </c>
      <c r="AE37" s="270">
        <f t="shared" si="13"/>
        <v>56.62</v>
      </c>
      <c r="AF37" s="182"/>
      <c r="AG37" s="217">
        <v>19</v>
      </c>
      <c r="AH37" s="206">
        <f t="shared" ca="1" si="40"/>
        <v>45726</v>
      </c>
      <c r="AI37" s="270">
        <f t="shared" ca="1" si="35"/>
        <v>619.79</v>
      </c>
      <c r="AJ37" s="178">
        <f t="shared" ca="1" si="36"/>
        <v>436.20028867325425</v>
      </c>
      <c r="AK37" s="182">
        <v>19</v>
      </c>
      <c r="AL37" s="206">
        <f t="shared" ca="1" si="41"/>
        <v>45726</v>
      </c>
      <c r="AM37" s="270">
        <f t="shared" ca="1" si="37"/>
        <v>676.41</v>
      </c>
      <c r="AN37" s="176"/>
      <c r="AO37" s="176">
        <v>19</v>
      </c>
      <c r="AP37" s="186">
        <f t="shared" si="14"/>
        <v>56.62</v>
      </c>
      <c r="AQ37" s="186">
        <f t="shared" si="15"/>
        <v>0</v>
      </c>
      <c r="AR37" s="186">
        <f t="shared" si="16"/>
        <v>0</v>
      </c>
      <c r="AS37" s="176">
        <f t="shared" si="17"/>
        <v>0</v>
      </c>
      <c r="AT37" s="176">
        <f t="shared" si="18"/>
        <v>0</v>
      </c>
      <c r="AU37" s="176">
        <f t="shared" si="19"/>
        <v>0</v>
      </c>
      <c r="AV37" s="176">
        <f t="shared" si="20"/>
        <v>0</v>
      </c>
      <c r="AW37" s="176">
        <f t="shared" si="21"/>
        <v>0</v>
      </c>
      <c r="AX37" s="176">
        <f t="shared" si="22"/>
        <v>0</v>
      </c>
      <c r="AY37" s="176">
        <f t="shared" si="23"/>
        <v>0</v>
      </c>
      <c r="AZ37" s="176"/>
      <c r="BA37" s="176"/>
      <c r="BB37" s="176"/>
      <c r="BC37" s="176"/>
      <c r="BD37" s="186" t="str">
        <f t="shared" si="42"/>
        <v>1GOV ACRE</v>
      </c>
      <c r="BE37" s="186">
        <f t="shared" si="43"/>
        <v>1</v>
      </c>
      <c r="BF37" s="209" t="str">
        <f>'Base tabelas'!A16</f>
        <v>GOV ACRE</v>
      </c>
      <c r="BG37" s="209" t="str">
        <f>'Base tabelas'!B16</f>
        <v>745131 - Tabela 1</v>
      </c>
      <c r="BH37" s="209">
        <f>'Base tabelas'!C16</f>
        <v>2.2499999999999999E-2</v>
      </c>
      <c r="BI37" s="209">
        <f>'Base tabelas'!D16</f>
        <v>120</v>
      </c>
      <c r="BJ37" s="209" t="str">
        <f>'Base tabelas'!E16</f>
        <v/>
      </c>
      <c r="BK37" s="209">
        <f>'Base tabelas'!F16</f>
        <v>2.4</v>
      </c>
      <c r="BL37" s="209">
        <f>'Base tabelas'!G16</f>
        <v>5</v>
      </c>
      <c r="BM37" s="209">
        <f>'Base tabelas'!H16</f>
        <v>47</v>
      </c>
      <c r="BN37" s="209" t="str">
        <f>'Base tabelas'!I16</f>
        <v>RFN - GOV. ACRE DIG 1 PORTAB</v>
      </c>
      <c r="BO37" s="209" t="str">
        <f>'Base tabelas'!J16</f>
        <v>1,65</v>
      </c>
      <c r="BP37" s="209">
        <f>'Base tabelas'!K16</f>
        <v>1.6500000000000001E-2</v>
      </c>
      <c r="BQ37" s="277">
        <f t="shared" si="57"/>
        <v>2.5219294218817499E-2</v>
      </c>
      <c r="BR37" s="278">
        <f t="shared" si="58"/>
        <v>2.4E-2</v>
      </c>
      <c r="BS37" s="279">
        <v>2.9999999999999997E-4</v>
      </c>
      <c r="BT37" s="176"/>
      <c r="BU37" s="118" t="s">
        <v>101</v>
      </c>
      <c r="BV37" s="161">
        <v>52</v>
      </c>
      <c r="BW37" s="161"/>
      <c r="BX37" s="161"/>
      <c r="BY37" s="161"/>
      <c r="BZ37" s="161"/>
      <c r="CA37" s="161"/>
      <c r="CB37" s="161"/>
      <c r="CC37" s="161"/>
      <c r="CD37" s="161"/>
      <c r="CE37" s="161"/>
      <c r="CF37" s="161"/>
      <c r="CG37" s="161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</row>
    <row r="38" spans="2:115" s="19" customFormat="1" ht="21" hidden="1" customHeight="1" x14ac:dyDescent="0.25">
      <c r="B38" s="38"/>
      <c r="D38" s="38"/>
      <c r="E38" s="112"/>
      <c r="F38" s="112"/>
      <c r="G38" s="109"/>
      <c r="H38" s="110"/>
      <c r="I38" s="111"/>
      <c r="J38" s="108"/>
      <c r="K38" s="112"/>
      <c r="L38" s="70"/>
      <c r="M38" s="112"/>
      <c r="N38" s="112"/>
      <c r="O38" s="282"/>
      <c r="P38" s="282"/>
      <c r="Q38" s="176">
        <v>20</v>
      </c>
      <c r="R38" s="176">
        <f t="shared" si="47"/>
        <v>56.62</v>
      </c>
      <c r="S38" s="176">
        <f t="shared" si="48"/>
        <v>0</v>
      </c>
      <c r="T38" s="176">
        <f t="shared" si="49"/>
        <v>0</v>
      </c>
      <c r="U38" s="176">
        <f t="shared" si="50"/>
        <v>0</v>
      </c>
      <c r="V38" s="176">
        <f t="shared" si="51"/>
        <v>0</v>
      </c>
      <c r="W38" s="176">
        <f t="shared" si="52"/>
        <v>0</v>
      </c>
      <c r="X38" s="176">
        <f t="shared" si="53"/>
        <v>0</v>
      </c>
      <c r="Y38" s="176">
        <f t="shared" si="54"/>
        <v>0</v>
      </c>
      <c r="Z38" s="176">
        <f t="shared" si="55"/>
        <v>0</v>
      </c>
      <c r="AA38" s="176">
        <f t="shared" si="56"/>
        <v>0</v>
      </c>
      <c r="AB38" s="176"/>
      <c r="AC38" s="182">
        <v>20</v>
      </c>
      <c r="AD38" s="206">
        <f t="shared" ca="1" si="39"/>
        <v>45757</v>
      </c>
      <c r="AE38" s="270">
        <f t="shared" si="13"/>
        <v>56.62</v>
      </c>
      <c r="AF38" s="182"/>
      <c r="AG38" s="217">
        <v>20</v>
      </c>
      <c r="AH38" s="206">
        <f t="shared" ca="1" si="40"/>
        <v>45757</v>
      </c>
      <c r="AI38" s="270">
        <f t="shared" ca="1" si="35"/>
        <v>619.79</v>
      </c>
      <c r="AJ38" s="178">
        <f t="shared" ca="1" si="36"/>
        <v>427.75515660229888</v>
      </c>
      <c r="AK38" s="182">
        <v>20</v>
      </c>
      <c r="AL38" s="206">
        <f t="shared" ca="1" si="41"/>
        <v>45757</v>
      </c>
      <c r="AM38" s="270">
        <f t="shared" ca="1" si="37"/>
        <v>676.41</v>
      </c>
      <c r="AN38" s="251"/>
      <c r="AO38" s="176">
        <v>20</v>
      </c>
      <c r="AP38" s="186">
        <f t="shared" si="14"/>
        <v>56.62</v>
      </c>
      <c r="AQ38" s="186">
        <f t="shared" si="15"/>
        <v>0</v>
      </c>
      <c r="AR38" s="186">
        <f t="shared" si="16"/>
        <v>0</v>
      </c>
      <c r="AS38" s="176">
        <f t="shared" si="17"/>
        <v>0</v>
      </c>
      <c r="AT38" s="176">
        <f t="shared" si="18"/>
        <v>0</v>
      </c>
      <c r="AU38" s="176">
        <f t="shared" si="19"/>
        <v>0</v>
      </c>
      <c r="AV38" s="176">
        <f t="shared" si="20"/>
        <v>0</v>
      </c>
      <c r="AW38" s="176">
        <f t="shared" si="21"/>
        <v>0</v>
      </c>
      <c r="AX38" s="176">
        <f t="shared" si="22"/>
        <v>0</v>
      </c>
      <c r="AY38" s="176">
        <f t="shared" si="23"/>
        <v>0</v>
      </c>
      <c r="AZ38" s="176"/>
      <c r="BA38" s="176"/>
      <c r="BB38" s="176"/>
      <c r="BC38" s="176"/>
      <c r="BD38" s="186" t="str">
        <f t="shared" si="42"/>
        <v>2GOV ACRE</v>
      </c>
      <c r="BE38" s="186">
        <f t="shared" si="43"/>
        <v>2</v>
      </c>
      <c r="BF38" s="209" t="str">
        <f>'Base tabelas'!A17</f>
        <v>GOV ACRE</v>
      </c>
      <c r="BG38" s="209" t="str">
        <f>'Base tabelas'!B17</f>
        <v>745137 - Tabela 2</v>
      </c>
      <c r="BH38" s="209">
        <f>'Base tabelas'!C17</f>
        <v>2.2000000000000002E-2</v>
      </c>
      <c r="BI38" s="209">
        <f>'Base tabelas'!D17</f>
        <v>120</v>
      </c>
      <c r="BJ38" s="209" t="str">
        <f>'Base tabelas'!E17</f>
        <v/>
      </c>
      <c r="BK38" s="209">
        <f>'Base tabelas'!F17</f>
        <v>2.4</v>
      </c>
      <c r="BL38" s="209">
        <f>'Base tabelas'!G17</f>
        <v>5</v>
      </c>
      <c r="BM38" s="209">
        <f>'Base tabelas'!H17</f>
        <v>46</v>
      </c>
      <c r="BN38" s="209" t="str">
        <f>'Base tabelas'!I17</f>
        <v>RFN - GOV. ACRE DIG 2 PORTAB</v>
      </c>
      <c r="BO38" s="209" t="str">
        <f>'Base tabelas'!J17</f>
        <v>1,65</v>
      </c>
      <c r="BP38" s="209">
        <f>'Base tabelas'!K17</f>
        <v>1.6500000000000001E-2</v>
      </c>
      <c r="BQ38" s="277">
        <f t="shared" si="57"/>
        <v>2.4745448304353664E-2</v>
      </c>
      <c r="BR38" s="278">
        <f t="shared" si="58"/>
        <v>2.4E-2</v>
      </c>
      <c r="BS38" s="279">
        <v>2.9999999999999997E-4</v>
      </c>
      <c r="BT38" s="176"/>
      <c r="BU38" s="118" t="s">
        <v>151</v>
      </c>
      <c r="BV38" s="161">
        <v>56.5</v>
      </c>
      <c r="BW38" s="161"/>
      <c r="BX38" s="161"/>
      <c r="BY38" s="161"/>
      <c r="BZ38" s="161"/>
      <c r="CA38" s="161"/>
      <c r="CB38" s="161"/>
      <c r="CC38" s="161"/>
      <c r="CD38" s="161"/>
      <c r="CE38" s="161"/>
      <c r="CF38" s="161"/>
      <c r="CG38" s="161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</row>
    <row r="39" spans="2:115" s="19" customFormat="1" ht="21" hidden="1" customHeight="1" x14ac:dyDescent="0.25">
      <c r="B39" s="38"/>
      <c r="C39" s="38"/>
      <c r="D39" s="38"/>
      <c r="E39" s="38"/>
      <c r="F39" s="38"/>
      <c r="G39" s="109"/>
      <c r="H39" s="110"/>
      <c r="I39" s="111"/>
      <c r="J39" s="108"/>
      <c r="K39" s="113"/>
      <c r="L39" s="70"/>
      <c r="M39" s="113"/>
      <c r="N39" s="113"/>
      <c r="O39" s="282"/>
      <c r="P39" s="282"/>
      <c r="Q39" s="176">
        <v>21</v>
      </c>
      <c r="R39" s="176">
        <f t="shared" si="47"/>
        <v>56.62</v>
      </c>
      <c r="S39" s="176">
        <f t="shared" si="48"/>
        <v>0</v>
      </c>
      <c r="T39" s="176">
        <f t="shared" si="49"/>
        <v>0</v>
      </c>
      <c r="U39" s="176">
        <f t="shared" si="50"/>
        <v>0</v>
      </c>
      <c r="V39" s="176">
        <f t="shared" si="51"/>
        <v>0</v>
      </c>
      <c r="W39" s="176">
        <f t="shared" si="52"/>
        <v>0</v>
      </c>
      <c r="X39" s="176">
        <f t="shared" si="53"/>
        <v>0</v>
      </c>
      <c r="Y39" s="176">
        <f t="shared" si="54"/>
        <v>0</v>
      </c>
      <c r="Z39" s="176">
        <f t="shared" si="55"/>
        <v>0</v>
      </c>
      <c r="AA39" s="176">
        <f t="shared" si="56"/>
        <v>0</v>
      </c>
      <c r="AB39" s="176"/>
      <c r="AC39" s="182">
        <v>21</v>
      </c>
      <c r="AD39" s="206">
        <f t="shared" ca="1" si="39"/>
        <v>45787</v>
      </c>
      <c r="AE39" s="270">
        <f t="shared" si="13"/>
        <v>56.62</v>
      </c>
      <c r="AF39" s="182"/>
      <c r="AG39" s="217">
        <v>21</v>
      </c>
      <c r="AH39" s="206">
        <f t="shared" ca="1" si="40"/>
        <v>45787</v>
      </c>
      <c r="AI39" s="270">
        <f t="shared" ca="1" si="35"/>
        <v>619.79</v>
      </c>
      <c r="AJ39" s="178">
        <f t="shared" ca="1" si="36"/>
        <v>419.73815778853788</v>
      </c>
      <c r="AK39" s="182">
        <v>21</v>
      </c>
      <c r="AL39" s="206">
        <f t="shared" ca="1" si="41"/>
        <v>45787</v>
      </c>
      <c r="AM39" s="270">
        <f t="shared" ca="1" si="37"/>
        <v>676.41</v>
      </c>
      <c r="AN39" s="251"/>
      <c r="AO39" s="176">
        <v>21</v>
      </c>
      <c r="AP39" s="186">
        <f t="shared" si="14"/>
        <v>56.62</v>
      </c>
      <c r="AQ39" s="186">
        <f t="shared" si="15"/>
        <v>0</v>
      </c>
      <c r="AR39" s="186">
        <f t="shared" si="16"/>
        <v>0</v>
      </c>
      <c r="AS39" s="176">
        <f t="shared" si="17"/>
        <v>0</v>
      </c>
      <c r="AT39" s="176">
        <f t="shared" si="18"/>
        <v>0</v>
      </c>
      <c r="AU39" s="176">
        <f t="shared" si="19"/>
        <v>0</v>
      </c>
      <c r="AV39" s="176">
        <f t="shared" si="20"/>
        <v>0</v>
      </c>
      <c r="AW39" s="176">
        <f t="shared" si="21"/>
        <v>0</v>
      </c>
      <c r="AX39" s="176">
        <f t="shared" si="22"/>
        <v>0</v>
      </c>
      <c r="AY39" s="176">
        <f t="shared" si="23"/>
        <v>0</v>
      </c>
      <c r="AZ39" s="176"/>
      <c r="BA39" s="176"/>
      <c r="BB39" s="176"/>
      <c r="BC39" s="176"/>
      <c r="BD39" s="186" t="str">
        <f t="shared" si="42"/>
        <v>1GOV AM</v>
      </c>
      <c r="BE39" s="186">
        <f t="shared" si="43"/>
        <v>1</v>
      </c>
      <c r="BF39" s="209" t="str">
        <f>'Base tabelas'!A18</f>
        <v>GOV AM</v>
      </c>
      <c r="BG39" s="209" t="str">
        <f>'Base tabelas'!B18</f>
        <v>775185 - Tabela 1</v>
      </c>
      <c r="BH39" s="209">
        <f>'Base tabelas'!C18</f>
        <v>2.35E-2</v>
      </c>
      <c r="BI39" s="209">
        <f>'Base tabelas'!D18</f>
        <v>120</v>
      </c>
      <c r="BJ39" s="209" t="str">
        <f>'Base tabelas'!E18</f>
        <v/>
      </c>
      <c r="BK39" s="209">
        <f>'Base tabelas'!F18</f>
        <v>2.4</v>
      </c>
      <c r="BL39" s="209">
        <f>'Base tabelas'!G18</f>
        <v>20</v>
      </c>
      <c r="BM39" s="209">
        <f>'Base tabelas'!H18</f>
        <v>59</v>
      </c>
      <c r="BN39" s="209" t="str">
        <f>'Base tabelas'!I18</f>
        <v>RFN - GOV. AM PORTAB 1 DIG</v>
      </c>
      <c r="BO39" s="209" t="str">
        <f>'Base tabelas'!J18</f>
        <v>1,5</v>
      </c>
      <c r="BP39" s="209">
        <f>'Base tabelas'!K18</f>
        <v>1.4999999999999999E-2</v>
      </c>
      <c r="BQ39" s="277">
        <f t="shared" si="57"/>
        <v>2.6383494451857527E-2</v>
      </c>
      <c r="BR39" s="278">
        <f t="shared" si="58"/>
        <v>2.4E-2</v>
      </c>
      <c r="BS39" s="279">
        <v>2.9999999999999997E-4</v>
      </c>
      <c r="BT39" s="176"/>
      <c r="BU39" s="118" t="s">
        <v>100</v>
      </c>
      <c r="BV39" s="161">
        <v>53</v>
      </c>
      <c r="BW39" s="161"/>
      <c r="BX39" s="161"/>
      <c r="BY39" s="161"/>
      <c r="BZ39" s="161"/>
      <c r="CA39" s="161"/>
      <c r="CB39" s="161"/>
      <c r="CC39" s="161"/>
      <c r="CD39" s="161"/>
      <c r="CE39" s="161"/>
      <c r="CF39" s="161"/>
      <c r="CG39" s="161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</row>
    <row r="40" spans="2:115" s="19" customFormat="1" ht="21" hidden="1" customHeight="1" x14ac:dyDescent="0.25">
      <c r="B40" s="38"/>
      <c r="C40" s="38"/>
      <c r="D40" s="38"/>
      <c r="E40" s="38"/>
      <c r="F40" s="38"/>
      <c r="G40" s="109"/>
      <c r="H40" s="110"/>
      <c r="I40" s="111"/>
      <c r="J40" s="108"/>
      <c r="K40" s="113"/>
      <c r="L40" s="70"/>
      <c r="M40" s="113"/>
      <c r="N40" s="113"/>
      <c r="O40" s="282"/>
      <c r="P40" s="282"/>
      <c r="Q40" s="176">
        <v>22</v>
      </c>
      <c r="R40" s="176">
        <f t="shared" si="47"/>
        <v>56.62</v>
      </c>
      <c r="S40" s="176">
        <f t="shared" si="48"/>
        <v>0</v>
      </c>
      <c r="T40" s="176">
        <f t="shared" si="49"/>
        <v>0</v>
      </c>
      <c r="U40" s="176">
        <f t="shared" si="50"/>
        <v>0</v>
      </c>
      <c r="V40" s="176">
        <f t="shared" si="51"/>
        <v>0</v>
      </c>
      <c r="W40" s="176">
        <f t="shared" si="52"/>
        <v>0</v>
      </c>
      <c r="X40" s="176">
        <f t="shared" si="53"/>
        <v>0</v>
      </c>
      <c r="Y40" s="176">
        <f t="shared" si="54"/>
        <v>0</v>
      </c>
      <c r="Z40" s="176">
        <f t="shared" si="55"/>
        <v>0</v>
      </c>
      <c r="AA40" s="176">
        <f t="shared" si="56"/>
        <v>0</v>
      </c>
      <c r="AB40" s="176"/>
      <c r="AC40" s="182">
        <v>22</v>
      </c>
      <c r="AD40" s="206">
        <f t="shared" ca="1" si="39"/>
        <v>45818</v>
      </c>
      <c r="AE40" s="270">
        <f t="shared" si="13"/>
        <v>56.62</v>
      </c>
      <c r="AF40" s="182"/>
      <c r="AG40" s="217">
        <v>22</v>
      </c>
      <c r="AH40" s="206">
        <f t="shared" ca="1" si="40"/>
        <v>45818</v>
      </c>
      <c r="AI40" s="270">
        <f t="shared" ca="1" si="35"/>
        <v>619.79</v>
      </c>
      <c r="AJ40" s="178">
        <f t="shared" ca="1" si="36"/>
        <v>411.6117436852245</v>
      </c>
      <c r="AK40" s="182">
        <v>22</v>
      </c>
      <c r="AL40" s="206">
        <f t="shared" ca="1" si="41"/>
        <v>45818</v>
      </c>
      <c r="AM40" s="270">
        <f t="shared" ca="1" si="37"/>
        <v>676.41</v>
      </c>
      <c r="AN40" s="251"/>
      <c r="AO40" s="176">
        <v>22</v>
      </c>
      <c r="AP40" s="186">
        <f t="shared" si="14"/>
        <v>56.62</v>
      </c>
      <c r="AQ40" s="186">
        <f t="shared" si="15"/>
        <v>0</v>
      </c>
      <c r="AR40" s="186">
        <f t="shared" si="16"/>
        <v>0</v>
      </c>
      <c r="AS40" s="176">
        <f t="shared" si="17"/>
        <v>0</v>
      </c>
      <c r="AT40" s="176">
        <f t="shared" si="18"/>
        <v>0</v>
      </c>
      <c r="AU40" s="176">
        <f t="shared" si="19"/>
        <v>0</v>
      </c>
      <c r="AV40" s="176">
        <f t="shared" si="20"/>
        <v>0</v>
      </c>
      <c r="AW40" s="176">
        <f t="shared" si="21"/>
        <v>0</v>
      </c>
      <c r="AX40" s="176">
        <f t="shared" si="22"/>
        <v>0</v>
      </c>
      <c r="AY40" s="176">
        <f t="shared" si="23"/>
        <v>0</v>
      </c>
      <c r="AZ40" s="176"/>
      <c r="BA40" s="176"/>
      <c r="BB40" s="176"/>
      <c r="BC40" s="176"/>
      <c r="BD40" s="186" t="str">
        <f t="shared" si="42"/>
        <v>2GOV AM</v>
      </c>
      <c r="BE40" s="186">
        <f t="shared" si="43"/>
        <v>2</v>
      </c>
      <c r="BF40" s="209" t="str">
        <f>'Base tabelas'!A19</f>
        <v>GOV AM</v>
      </c>
      <c r="BG40" s="209" t="str">
        <f>'Base tabelas'!B19</f>
        <v>775186 - Tabela 2</v>
      </c>
      <c r="BH40" s="209">
        <f>'Base tabelas'!C19</f>
        <v>2.2499999999999999E-2</v>
      </c>
      <c r="BI40" s="209">
        <f>'Base tabelas'!D19</f>
        <v>120</v>
      </c>
      <c r="BJ40" s="209" t="str">
        <f>'Base tabelas'!E19</f>
        <v/>
      </c>
      <c r="BK40" s="209">
        <f>'Base tabelas'!F19</f>
        <v>2.4</v>
      </c>
      <c r="BL40" s="209">
        <f>'Base tabelas'!G19</f>
        <v>20</v>
      </c>
      <c r="BM40" s="209">
        <f>'Base tabelas'!H19</f>
        <v>58</v>
      </c>
      <c r="BN40" s="209" t="str">
        <f>'Base tabelas'!I19</f>
        <v>RFN - GOV. AM PORTAB 2 DIG</v>
      </c>
      <c r="BO40" s="209" t="str">
        <f>'Base tabelas'!J19</f>
        <v>1,5</v>
      </c>
      <c r="BP40" s="209">
        <f>'Base tabelas'!K19</f>
        <v>1.4999999999999999E-2</v>
      </c>
      <c r="BQ40" s="277">
        <f t="shared" si="57"/>
        <v>2.54258888694824E-2</v>
      </c>
      <c r="BR40" s="278">
        <f t="shared" si="58"/>
        <v>2.4E-2</v>
      </c>
      <c r="BS40" s="279">
        <v>2.9999999999999997E-4</v>
      </c>
      <c r="BT40" s="176"/>
      <c r="BU40" s="118" t="s">
        <v>475</v>
      </c>
      <c r="BV40" s="161">
        <v>45.4</v>
      </c>
      <c r="BW40" s="161"/>
      <c r="BX40" s="161"/>
      <c r="BY40" s="161"/>
      <c r="BZ40" s="161"/>
      <c r="CA40" s="161"/>
      <c r="CB40" s="161"/>
      <c r="CC40" s="161"/>
      <c r="CD40" s="161"/>
      <c r="CE40" s="161"/>
      <c r="CF40" s="161"/>
      <c r="CG40" s="161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</row>
    <row r="41" spans="2:115" s="19" customFormat="1" ht="21" hidden="1" customHeight="1" x14ac:dyDescent="0.25">
      <c r="B41" s="38"/>
      <c r="C41" s="38"/>
      <c r="D41" s="38"/>
      <c r="E41" s="38"/>
      <c r="F41" s="38"/>
      <c r="G41" s="113"/>
      <c r="H41" s="113"/>
      <c r="I41" s="113"/>
      <c r="J41" s="113"/>
      <c r="K41" s="113"/>
      <c r="L41" s="113"/>
      <c r="M41" s="113"/>
      <c r="N41" s="113"/>
      <c r="O41" s="282"/>
      <c r="P41" s="282"/>
      <c r="Q41" s="176">
        <v>23</v>
      </c>
      <c r="R41" s="176">
        <f t="shared" si="47"/>
        <v>56.62</v>
      </c>
      <c r="S41" s="176">
        <f t="shared" si="48"/>
        <v>0</v>
      </c>
      <c r="T41" s="176">
        <f t="shared" si="49"/>
        <v>0</v>
      </c>
      <c r="U41" s="176">
        <f t="shared" si="50"/>
        <v>0</v>
      </c>
      <c r="V41" s="176">
        <f t="shared" si="51"/>
        <v>0</v>
      </c>
      <c r="W41" s="176">
        <f t="shared" si="52"/>
        <v>0</v>
      </c>
      <c r="X41" s="176">
        <f t="shared" si="53"/>
        <v>0</v>
      </c>
      <c r="Y41" s="176">
        <f t="shared" si="54"/>
        <v>0</v>
      </c>
      <c r="Z41" s="176">
        <f t="shared" si="55"/>
        <v>0</v>
      </c>
      <c r="AA41" s="176">
        <f t="shared" si="56"/>
        <v>0</v>
      </c>
      <c r="AB41" s="176"/>
      <c r="AC41" s="182">
        <v>23</v>
      </c>
      <c r="AD41" s="206">
        <f t="shared" ca="1" si="39"/>
        <v>45848</v>
      </c>
      <c r="AE41" s="270">
        <f t="shared" si="13"/>
        <v>56.62</v>
      </c>
      <c r="AF41" s="182"/>
      <c r="AG41" s="217">
        <v>23</v>
      </c>
      <c r="AH41" s="206">
        <f t="shared" ca="1" si="40"/>
        <v>45848</v>
      </c>
      <c r="AI41" s="270">
        <f t="shared" ca="1" si="35"/>
        <v>619.79</v>
      </c>
      <c r="AJ41" s="178">
        <f t="shared" ca="1" si="36"/>
        <v>403.89730515673097</v>
      </c>
      <c r="AK41" s="182">
        <v>23</v>
      </c>
      <c r="AL41" s="206">
        <f t="shared" ca="1" si="41"/>
        <v>45848</v>
      </c>
      <c r="AM41" s="270">
        <f t="shared" ca="1" si="37"/>
        <v>676.41</v>
      </c>
      <c r="AN41" s="251"/>
      <c r="AO41" s="176">
        <v>23</v>
      </c>
      <c r="AP41" s="186">
        <f t="shared" si="14"/>
        <v>56.62</v>
      </c>
      <c r="AQ41" s="186">
        <f t="shared" si="15"/>
        <v>0</v>
      </c>
      <c r="AR41" s="186">
        <f t="shared" si="16"/>
        <v>0</v>
      </c>
      <c r="AS41" s="176">
        <f t="shared" si="17"/>
        <v>0</v>
      </c>
      <c r="AT41" s="176">
        <f t="shared" si="18"/>
        <v>0</v>
      </c>
      <c r="AU41" s="176">
        <f t="shared" si="19"/>
        <v>0</v>
      </c>
      <c r="AV41" s="176">
        <f t="shared" si="20"/>
        <v>0</v>
      </c>
      <c r="AW41" s="176">
        <f t="shared" si="21"/>
        <v>0</v>
      </c>
      <c r="AX41" s="176">
        <f t="shared" si="22"/>
        <v>0</v>
      </c>
      <c r="AY41" s="176">
        <f t="shared" si="23"/>
        <v>0</v>
      </c>
      <c r="AZ41" s="176"/>
      <c r="BA41" s="176"/>
      <c r="BB41" s="176"/>
      <c r="BC41" s="176"/>
      <c r="BD41" s="186" t="str">
        <f t="shared" si="42"/>
        <v>3GOV AM</v>
      </c>
      <c r="BE41" s="186">
        <f t="shared" si="43"/>
        <v>3</v>
      </c>
      <c r="BF41" s="209" t="str">
        <f>'Base tabelas'!A20</f>
        <v>GOV AM</v>
      </c>
      <c r="BG41" s="209" t="str">
        <f>'Base tabelas'!B20</f>
        <v>775187 - Tabela 3</v>
      </c>
      <c r="BH41" s="209">
        <f>'Base tabelas'!C20</f>
        <v>2.1499999999999998E-2</v>
      </c>
      <c r="BI41" s="209">
        <f>'Base tabelas'!D20</f>
        <v>120</v>
      </c>
      <c r="BJ41" s="209" t="str">
        <f>'Base tabelas'!E20</f>
        <v/>
      </c>
      <c r="BK41" s="209">
        <f>'Base tabelas'!F20</f>
        <v>2.4</v>
      </c>
      <c r="BL41" s="209">
        <f>'Base tabelas'!G20</f>
        <v>20</v>
      </c>
      <c r="BM41" s="209">
        <f>'Base tabelas'!H20</f>
        <v>57</v>
      </c>
      <c r="BN41" s="209" t="str">
        <f>'Base tabelas'!I20</f>
        <v>RFN - GOV. AM PORTAB 3 DIG</v>
      </c>
      <c r="BO41" s="209" t="str">
        <f>'Base tabelas'!J20</f>
        <v>1,5</v>
      </c>
      <c r="BP41" s="209">
        <f>'Base tabelas'!K20</f>
        <v>1.4999999999999999E-2</v>
      </c>
      <c r="BQ41" s="277">
        <f t="shared" si="57"/>
        <v>2.4483408472220424E-2</v>
      </c>
      <c r="BR41" s="278">
        <f t="shared" si="58"/>
        <v>2.4E-2</v>
      </c>
      <c r="BS41" s="279">
        <v>2.9999999999999997E-4</v>
      </c>
      <c r="BT41" s="176"/>
      <c r="BU41" s="118" t="s">
        <v>476</v>
      </c>
      <c r="BV41" s="161">
        <v>45.2</v>
      </c>
      <c r="BW41" s="161"/>
      <c r="BX41" s="161"/>
      <c r="BY41" s="161"/>
      <c r="BZ41" s="161"/>
      <c r="CA41" s="161"/>
      <c r="CB41" s="161"/>
      <c r="CC41" s="161"/>
      <c r="CD41" s="161"/>
      <c r="CE41" s="161"/>
      <c r="CF41" s="161"/>
      <c r="CG41" s="16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</row>
    <row r="42" spans="2:115" s="19" customFormat="1" ht="21" hidden="1" customHeight="1" x14ac:dyDescent="0.25">
      <c r="B42" s="38"/>
      <c r="C42" s="4" t="s">
        <v>56</v>
      </c>
      <c r="D42" s="38"/>
      <c r="E42" s="2" t="s">
        <v>521</v>
      </c>
      <c r="F42" s="38"/>
      <c r="G42" s="114"/>
      <c r="H42" s="115"/>
      <c r="I42" s="113"/>
      <c r="J42" s="113"/>
      <c r="K42" s="113"/>
      <c r="L42" s="113"/>
      <c r="M42" s="113"/>
      <c r="N42" s="113"/>
      <c r="O42" s="282"/>
      <c r="P42" s="282"/>
      <c r="Q42" s="176">
        <v>24</v>
      </c>
      <c r="R42" s="176">
        <f t="shared" si="47"/>
        <v>56.62</v>
      </c>
      <c r="S42" s="176">
        <f t="shared" si="48"/>
        <v>0</v>
      </c>
      <c r="T42" s="176">
        <f t="shared" si="49"/>
        <v>0</v>
      </c>
      <c r="U42" s="176">
        <f t="shared" si="50"/>
        <v>0</v>
      </c>
      <c r="V42" s="176">
        <f t="shared" si="51"/>
        <v>0</v>
      </c>
      <c r="W42" s="176">
        <f t="shared" si="52"/>
        <v>0</v>
      </c>
      <c r="X42" s="176">
        <f t="shared" si="53"/>
        <v>0</v>
      </c>
      <c r="Y42" s="176">
        <f t="shared" si="54"/>
        <v>0</v>
      </c>
      <c r="Z42" s="176">
        <f t="shared" si="55"/>
        <v>0</v>
      </c>
      <c r="AA42" s="176">
        <f t="shared" si="56"/>
        <v>0</v>
      </c>
      <c r="AB42" s="176"/>
      <c r="AC42" s="182">
        <v>24</v>
      </c>
      <c r="AD42" s="206">
        <f t="shared" ca="1" si="39"/>
        <v>45879</v>
      </c>
      <c r="AE42" s="270">
        <f t="shared" si="13"/>
        <v>56.62</v>
      </c>
      <c r="AF42" s="182"/>
      <c r="AG42" s="217">
        <v>24</v>
      </c>
      <c r="AH42" s="206">
        <f t="shared" ca="1" si="40"/>
        <v>45879</v>
      </c>
      <c r="AI42" s="270">
        <f t="shared" ca="1" si="35"/>
        <v>619.79</v>
      </c>
      <c r="AJ42" s="178">
        <f t="shared" ca="1" si="36"/>
        <v>396.07758065465333</v>
      </c>
      <c r="AK42" s="182">
        <v>24</v>
      </c>
      <c r="AL42" s="206">
        <f t="shared" ca="1" si="41"/>
        <v>45879</v>
      </c>
      <c r="AM42" s="270">
        <f t="shared" ca="1" si="37"/>
        <v>676.41</v>
      </c>
      <c r="AN42" s="251"/>
      <c r="AO42" s="176">
        <v>24</v>
      </c>
      <c r="AP42" s="186">
        <f t="shared" si="14"/>
        <v>56.62</v>
      </c>
      <c r="AQ42" s="186">
        <f t="shared" si="15"/>
        <v>0</v>
      </c>
      <c r="AR42" s="186">
        <f t="shared" si="16"/>
        <v>0</v>
      </c>
      <c r="AS42" s="176">
        <f t="shared" si="17"/>
        <v>0</v>
      </c>
      <c r="AT42" s="176">
        <f t="shared" si="18"/>
        <v>0</v>
      </c>
      <c r="AU42" s="176">
        <f t="shared" si="19"/>
        <v>0</v>
      </c>
      <c r="AV42" s="176">
        <f t="shared" si="20"/>
        <v>0</v>
      </c>
      <c r="AW42" s="176">
        <f t="shared" si="21"/>
        <v>0</v>
      </c>
      <c r="AX42" s="176">
        <f t="shared" si="22"/>
        <v>0</v>
      </c>
      <c r="AY42" s="176">
        <f t="shared" si="23"/>
        <v>0</v>
      </c>
      <c r="AZ42" s="176"/>
      <c r="BA42" s="176"/>
      <c r="BB42" s="176"/>
      <c r="BC42" s="176"/>
      <c r="BD42" s="186" t="str">
        <f t="shared" si="42"/>
        <v>4GOV AM</v>
      </c>
      <c r="BE42" s="186">
        <f t="shared" si="43"/>
        <v>4</v>
      </c>
      <c r="BF42" s="209" t="str">
        <f>'Base tabelas'!A21</f>
        <v>GOV AM</v>
      </c>
      <c r="BG42" s="209" t="str">
        <f>'Base tabelas'!B21</f>
        <v>775188 - Tabela 4</v>
      </c>
      <c r="BH42" s="209">
        <f>'Base tabelas'!C21</f>
        <v>2.0499999999999997E-2</v>
      </c>
      <c r="BI42" s="209">
        <f>'Base tabelas'!D21</f>
        <v>120</v>
      </c>
      <c r="BJ42" s="209" t="str">
        <f>'Base tabelas'!E21</f>
        <v/>
      </c>
      <c r="BK42" s="209">
        <f>'Base tabelas'!F21</f>
        <v>2.4</v>
      </c>
      <c r="BL42" s="209">
        <f>'Base tabelas'!G21</f>
        <v>20</v>
      </c>
      <c r="BM42" s="209">
        <f>'Base tabelas'!H21</f>
        <v>59</v>
      </c>
      <c r="BN42" s="209" t="str">
        <f>'Base tabelas'!I21</f>
        <v>RFN - GOV. AM PORTAB 4 DIG</v>
      </c>
      <c r="BO42" s="209" t="str">
        <f>'Base tabelas'!J21</f>
        <v>1,5</v>
      </c>
      <c r="BP42" s="209">
        <f>'Base tabelas'!K21</f>
        <v>1.4999999999999999E-2</v>
      </c>
      <c r="BQ42" s="277">
        <f t="shared" si="57"/>
        <v>2.3604264164566586E-2</v>
      </c>
      <c r="BR42" s="278">
        <f t="shared" si="58"/>
        <v>2.4E-2</v>
      </c>
      <c r="BS42" s="279">
        <v>2.9999999999999997E-4</v>
      </c>
      <c r="BT42" s="176"/>
      <c r="BU42" s="118" t="s">
        <v>97</v>
      </c>
      <c r="BV42" s="161">
        <v>54.8</v>
      </c>
      <c r="BW42" s="161"/>
      <c r="BX42" s="161"/>
      <c r="BY42" s="161"/>
      <c r="BZ42" s="161"/>
      <c r="CA42" s="161"/>
      <c r="CB42" s="161"/>
      <c r="CC42" s="161"/>
      <c r="CD42" s="161"/>
      <c r="CE42" s="161"/>
      <c r="CF42" s="161"/>
      <c r="CG42" s="161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</row>
    <row r="43" spans="2:115" s="19" customFormat="1" ht="21" hidden="1" customHeight="1" x14ac:dyDescent="0.25">
      <c r="B43" s="38"/>
      <c r="C43" s="38"/>
      <c r="D43" s="38"/>
      <c r="E43" s="38"/>
      <c r="F43" s="38"/>
      <c r="G43" s="116"/>
      <c r="H43" s="113"/>
      <c r="I43" s="113"/>
      <c r="J43" s="113"/>
      <c r="K43" s="113"/>
      <c r="L43" s="113"/>
      <c r="M43" s="113"/>
      <c r="N43" s="113"/>
      <c r="O43" s="282"/>
      <c r="P43" s="282"/>
      <c r="Q43" s="176">
        <v>25</v>
      </c>
      <c r="R43" s="176">
        <f t="shared" si="47"/>
        <v>56.62</v>
      </c>
      <c r="S43" s="176">
        <f t="shared" si="48"/>
        <v>0</v>
      </c>
      <c r="T43" s="176">
        <f t="shared" si="49"/>
        <v>0</v>
      </c>
      <c r="U43" s="176">
        <f t="shared" si="50"/>
        <v>0</v>
      </c>
      <c r="V43" s="176">
        <f t="shared" si="51"/>
        <v>0</v>
      </c>
      <c r="W43" s="176">
        <f t="shared" si="52"/>
        <v>0</v>
      </c>
      <c r="X43" s="176">
        <f t="shared" si="53"/>
        <v>0</v>
      </c>
      <c r="Y43" s="176">
        <f t="shared" si="54"/>
        <v>0</v>
      </c>
      <c r="Z43" s="176">
        <f t="shared" si="55"/>
        <v>0</v>
      </c>
      <c r="AA43" s="176">
        <f t="shared" si="56"/>
        <v>0</v>
      </c>
      <c r="AB43" s="176"/>
      <c r="AC43" s="182">
        <v>25</v>
      </c>
      <c r="AD43" s="206">
        <f t="shared" ca="1" si="39"/>
        <v>45910</v>
      </c>
      <c r="AE43" s="270">
        <f t="shared" si="13"/>
        <v>56.62</v>
      </c>
      <c r="AF43" s="182"/>
      <c r="AG43" s="217">
        <v>25</v>
      </c>
      <c r="AH43" s="206">
        <f t="shared" ca="1" si="40"/>
        <v>45910</v>
      </c>
      <c r="AI43" s="270">
        <f t="shared" ca="1" si="35"/>
        <v>619.79</v>
      </c>
      <c r="AJ43" s="178">
        <f t="shared" ca="1" si="36"/>
        <v>388.40925129809335</v>
      </c>
      <c r="AK43" s="182">
        <v>25</v>
      </c>
      <c r="AL43" s="206">
        <f t="shared" ca="1" si="41"/>
        <v>45910</v>
      </c>
      <c r="AM43" s="270">
        <f t="shared" ca="1" si="37"/>
        <v>676.41</v>
      </c>
      <c r="AN43" s="251"/>
      <c r="AO43" s="176">
        <v>25</v>
      </c>
      <c r="AP43" s="186">
        <f t="shared" si="14"/>
        <v>56.62</v>
      </c>
      <c r="AQ43" s="186">
        <f t="shared" si="15"/>
        <v>0</v>
      </c>
      <c r="AR43" s="186">
        <f t="shared" si="16"/>
        <v>0</v>
      </c>
      <c r="AS43" s="176">
        <f t="shared" si="17"/>
        <v>0</v>
      </c>
      <c r="AT43" s="176">
        <f t="shared" si="18"/>
        <v>0</v>
      </c>
      <c r="AU43" s="176">
        <f t="shared" si="19"/>
        <v>0</v>
      </c>
      <c r="AV43" s="176">
        <f t="shared" si="20"/>
        <v>0</v>
      </c>
      <c r="AW43" s="176">
        <f t="shared" si="21"/>
        <v>0</v>
      </c>
      <c r="AX43" s="176">
        <f t="shared" si="22"/>
        <v>0</v>
      </c>
      <c r="AY43" s="176">
        <f t="shared" si="23"/>
        <v>0</v>
      </c>
      <c r="AZ43" s="176"/>
      <c r="BA43" s="176"/>
      <c r="BB43" s="176"/>
      <c r="BC43" s="176"/>
      <c r="BD43" s="186" t="str">
        <f t="shared" si="42"/>
        <v>1GOV BAHIA</v>
      </c>
      <c r="BE43" s="186">
        <f t="shared" si="43"/>
        <v>1</v>
      </c>
      <c r="BF43" s="209" t="str">
        <f>'Base tabelas'!A22</f>
        <v>GOV BAHIA</v>
      </c>
      <c r="BG43" s="209" t="str">
        <f>'Base tabelas'!B22</f>
        <v>715361 - Tabela 1</v>
      </c>
      <c r="BH43" s="209">
        <f>'Base tabelas'!C22</f>
        <v>2.2000000000000002E-2</v>
      </c>
      <c r="BI43" s="209">
        <f>'Base tabelas'!D22</f>
        <v>96</v>
      </c>
      <c r="BJ43" s="209" t="str">
        <f>'Base tabelas'!E22</f>
        <v/>
      </c>
      <c r="BK43" s="209">
        <f>'Base tabelas'!F22</f>
        <v>2.2000000000000002</v>
      </c>
      <c r="BL43" s="209">
        <f>'Base tabelas'!G22</f>
        <v>10</v>
      </c>
      <c r="BM43" s="209">
        <f>'Base tabelas'!H22</f>
        <v>52</v>
      </c>
      <c r="BN43" s="209" t="str">
        <f>'Base tabelas'!I22</f>
        <v>RFN - GOV. BAHIA DIG PORTABILIDADE 1</v>
      </c>
      <c r="BO43" s="209" t="str">
        <f>'Base tabelas'!J22</f>
        <v>1,3</v>
      </c>
      <c r="BP43" s="209">
        <f>'Base tabelas'!K22</f>
        <v>1.3000000000000001E-2</v>
      </c>
      <c r="BQ43" s="277">
        <f t="shared" si="57"/>
        <v>2.6281978095351481E-2</v>
      </c>
      <c r="BR43" s="278">
        <f t="shared" si="58"/>
        <v>2.2000000000000002E-2</v>
      </c>
      <c r="BS43" s="279">
        <v>2.9999999999999997E-4</v>
      </c>
      <c r="BT43" s="283"/>
      <c r="BU43" s="118" t="s">
        <v>164</v>
      </c>
      <c r="BV43" s="161">
        <v>71.333333333333329</v>
      </c>
      <c r="BW43" s="161"/>
      <c r="BX43" s="161"/>
      <c r="BY43" s="161"/>
      <c r="BZ43" s="161"/>
      <c r="CA43" s="161"/>
      <c r="CB43" s="161"/>
      <c r="CC43" s="161"/>
      <c r="CD43" s="161"/>
      <c r="CE43" s="161"/>
      <c r="CF43" s="161"/>
      <c r="CG43" s="161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</row>
    <row r="44" spans="2:115" hidden="1" x14ac:dyDescent="0.25">
      <c r="G44" s="17"/>
      <c r="H44" s="17"/>
      <c r="I44" s="17"/>
      <c r="J44" s="17"/>
      <c r="K44" s="17"/>
      <c r="L44" s="17"/>
      <c r="M44" s="17"/>
      <c r="N44" s="17"/>
      <c r="O44" s="284"/>
      <c r="P44" s="284"/>
      <c r="Q44" s="161">
        <v>26</v>
      </c>
      <c r="R44" s="161">
        <f t="shared" si="47"/>
        <v>56.62</v>
      </c>
      <c r="S44" s="161">
        <f t="shared" si="48"/>
        <v>0</v>
      </c>
      <c r="T44" s="161">
        <f t="shared" si="49"/>
        <v>0</v>
      </c>
      <c r="U44" s="161">
        <f t="shared" si="50"/>
        <v>0</v>
      </c>
      <c r="V44" s="161">
        <f t="shared" si="51"/>
        <v>0</v>
      </c>
      <c r="W44" s="161">
        <f t="shared" si="52"/>
        <v>0</v>
      </c>
      <c r="X44" s="161">
        <f t="shared" si="53"/>
        <v>0</v>
      </c>
      <c r="Y44" s="161">
        <f t="shared" si="54"/>
        <v>0</v>
      </c>
      <c r="Z44" s="161">
        <f t="shared" si="55"/>
        <v>0</v>
      </c>
      <c r="AA44" s="161">
        <f t="shared" si="56"/>
        <v>0</v>
      </c>
      <c r="AB44" s="161"/>
      <c r="AC44" s="168">
        <v>26</v>
      </c>
      <c r="AD44" s="213">
        <f t="shared" ca="1" si="39"/>
        <v>45940</v>
      </c>
      <c r="AE44" s="260">
        <f t="shared" si="13"/>
        <v>56.62</v>
      </c>
      <c r="AF44" s="168"/>
      <c r="AG44" s="233">
        <v>26</v>
      </c>
      <c r="AH44" s="213">
        <f t="shared" ca="1" si="40"/>
        <v>45940</v>
      </c>
      <c r="AI44" s="260">
        <f t="shared" ca="1" si="35"/>
        <v>619.79</v>
      </c>
      <c r="AJ44" s="215">
        <f t="shared" ca="1" si="36"/>
        <v>381.12967451485963</v>
      </c>
      <c r="AK44" s="168">
        <v>26</v>
      </c>
      <c r="AL44" s="213">
        <f t="shared" ca="1" si="41"/>
        <v>45940</v>
      </c>
      <c r="AM44" s="260">
        <f t="shared" ca="1" si="37"/>
        <v>676.41</v>
      </c>
      <c r="AO44" s="161">
        <v>26</v>
      </c>
      <c r="AP44" s="117">
        <f t="shared" si="14"/>
        <v>56.62</v>
      </c>
      <c r="AQ44" s="117">
        <f t="shared" si="15"/>
        <v>0</v>
      </c>
      <c r="AR44" s="117">
        <f t="shared" si="16"/>
        <v>0</v>
      </c>
      <c r="AS44" s="161">
        <f t="shared" si="17"/>
        <v>0</v>
      </c>
      <c r="AT44" s="161">
        <f t="shared" si="18"/>
        <v>0</v>
      </c>
      <c r="AU44" s="161">
        <f t="shared" si="19"/>
        <v>0</v>
      </c>
      <c r="AV44" s="161">
        <f t="shared" si="20"/>
        <v>0</v>
      </c>
      <c r="AW44" s="161">
        <f t="shared" si="21"/>
        <v>0</v>
      </c>
      <c r="AX44" s="161">
        <f t="shared" si="22"/>
        <v>0</v>
      </c>
      <c r="AY44" s="161">
        <f t="shared" si="23"/>
        <v>0</v>
      </c>
      <c r="BD44" s="186" t="str">
        <f t="shared" si="42"/>
        <v>2GOV BAHIA</v>
      </c>
      <c r="BE44" s="186">
        <f t="shared" si="43"/>
        <v>2</v>
      </c>
      <c r="BF44" s="209" t="str">
        <f>'Base tabelas'!A23</f>
        <v>GOV BAHIA</v>
      </c>
      <c r="BG44" s="209" t="str">
        <f>'Base tabelas'!B23</f>
        <v>715362 - Tabela 2</v>
      </c>
      <c r="BH44" s="209">
        <f>'Base tabelas'!C23</f>
        <v>2.1000000000000001E-2</v>
      </c>
      <c r="BI44" s="209">
        <f>'Base tabelas'!D23</f>
        <v>96</v>
      </c>
      <c r="BJ44" s="209" t="str">
        <f>'Base tabelas'!E23</f>
        <v/>
      </c>
      <c r="BK44" s="209">
        <f>'Base tabelas'!F23</f>
        <v>2.2000000000000002</v>
      </c>
      <c r="BL44" s="209">
        <f>'Base tabelas'!G23</f>
        <v>10</v>
      </c>
      <c r="BM44" s="209">
        <f>'Base tabelas'!H23</f>
        <v>52</v>
      </c>
      <c r="BN44" s="209" t="str">
        <f>'Base tabelas'!I23</f>
        <v>RFN - GOV. BAHIA DIG PORTABILIDADE 2</v>
      </c>
      <c r="BO44" s="209" t="str">
        <f>'Base tabelas'!J23</f>
        <v>1,3</v>
      </c>
      <c r="BP44" s="209">
        <f>'Base tabelas'!K23</f>
        <v>1.3000000000000001E-2</v>
      </c>
      <c r="BQ44" s="277">
        <f t="shared" si="57"/>
        <v>2.5423288791779856E-2</v>
      </c>
      <c r="BR44" s="278">
        <f t="shared" si="58"/>
        <v>2.2000000000000002E-2</v>
      </c>
      <c r="BS44" s="279">
        <v>2.9999999999999997E-4</v>
      </c>
      <c r="BT44" s="171"/>
      <c r="BU44" s="118" t="s">
        <v>166</v>
      </c>
      <c r="BV44" s="161">
        <v>65</v>
      </c>
    </row>
    <row r="45" spans="2:115" hidden="1" x14ac:dyDescent="0.25">
      <c r="G45" s="17"/>
      <c r="H45" s="17"/>
      <c r="I45" s="17"/>
      <c r="J45" s="17"/>
      <c r="K45" s="17"/>
      <c r="L45" s="17"/>
      <c r="M45" s="17"/>
      <c r="N45" s="17"/>
      <c r="O45" s="284"/>
      <c r="P45" s="284"/>
      <c r="Q45" s="161">
        <v>27</v>
      </c>
      <c r="R45" s="161">
        <f t="shared" si="47"/>
        <v>56.62</v>
      </c>
      <c r="S45" s="161">
        <f t="shared" si="48"/>
        <v>0</v>
      </c>
      <c r="T45" s="161">
        <f t="shared" si="49"/>
        <v>0</v>
      </c>
      <c r="U45" s="161">
        <f t="shared" si="50"/>
        <v>0</v>
      </c>
      <c r="V45" s="161">
        <f t="shared" si="51"/>
        <v>0</v>
      </c>
      <c r="W45" s="161">
        <f t="shared" si="52"/>
        <v>0</v>
      </c>
      <c r="X45" s="161">
        <f t="shared" si="53"/>
        <v>0</v>
      </c>
      <c r="Y45" s="161">
        <f t="shared" si="54"/>
        <v>0</v>
      </c>
      <c r="Z45" s="161">
        <f t="shared" si="55"/>
        <v>0</v>
      </c>
      <c r="AA45" s="161">
        <f t="shared" si="56"/>
        <v>0</v>
      </c>
      <c r="AB45" s="161"/>
      <c r="AC45" s="168">
        <v>27</v>
      </c>
      <c r="AD45" s="213">
        <f t="shared" ca="1" si="39"/>
        <v>45971</v>
      </c>
      <c r="AE45" s="260">
        <f t="shared" si="13"/>
        <v>56.62</v>
      </c>
      <c r="AF45" s="168"/>
      <c r="AG45" s="233">
        <v>27</v>
      </c>
      <c r="AH45" s="213">
        <f t="shared" ca="1" si="40"/>
        <v>45971</v>
      </c>
      <c r="AI45" s="260">
        <f t="shared" ca="1" si="35"/>
        <v>619.79</v>
      </c>
      <c r="AJ45" s="215">
        <f t="shared" ca="1" si="36"/>
        <v>373.75074671261495</v>
      </c>
      <c r="AK45" s="168">
        <v>27</v>
      </c>
      <c r="AL45" s="213">
        <f t="shared" ca="1" si="41"/>
        <v>45971</v>
      </c>
      <c r="AM45" s="260">
        <f t="shared" ca="1" si="37"/>
        <v>676.41</v>
      </c>
      <c r="AO45" s="161">
        <v>27</v>
      </c>
      <c r="AP45" s="117">
        <f t="shared" si="14"/>
        <v>56.62</v>
      </c>
      <c r="AQ45" s="117">
        <f t="shared" si="15"/>
        <v>0</v>
      </c>
      <c r="AR45" s="117">
        <f t="shared" si="16"/>
        <v>0</v>
      </c>
      <c r="AS45" s="161">
        <f t="shared" si="17"/>
        <v>0</v>
      </c>
      <c r="AT45" s="161">
        <f t="shared" si="18"/>
        <v>0</v>
      </c>
      <c r="AU45" s="161">
        <f t="shared" si="19"/>
        <v>0</v>
      </c>
      <c r="AV45" s="161">
        <f t="shared" si="20"/>
        <v>0</v>
      </c>
      <c r="AW45" s="161">
        <f t="shared" si="21"/>
        <v>0</v>
      </c>
      <c r="AX45" s="161">
        <f t="shared" si="22"/>
        <v>0</v>
      </c>
      <c r="AY45" s="161">
        <f t="shared" si="23"/>
        <v>0</v>
      </c>
      <c r="BD45" s="186" t="str">
        <f t="shared" si="42"/>
        <v>3GOV BAHIA</v>
      </c>
      <c r="BE45" s="186">
        <f t="shared" si="43"/>
        <v>3</v>
      </c>
      <c r="BF45" s="209" t="str">
        <f>'Base tabelas'!A24</f>
        <v>GOV BAHIA</v>
      </c>
      <c r="BG45" s="209" t="str">
        <f>'Base tabelas'!B24</f>
        <v>715363 - Tabela 3</v>
      </c>
      <c r="BH45" s="209">
        <f>'Base tabelas'!C24</f>
        <v>0.02</v>
      </c>
      <c r="BI45" s="209">
        <f>'Base tabelas'!D24</f>
        <v>96</v>
      </c>
      <c r="BJ45" s="209" t="str">
        <f>'Base tabelas'!E24</f>
        <v/>
      </c>
      <c r="BK45" s="209">
        <f>'Base tabelas'!F24</f>
        <v>2.2000000000000002</v>
      </c>
      <c r="BL45" s="209">
        <f>'Base tabelas'!G24</f>
        <v>10</v>
      </c>
      <c r="BM45" s="209">
        <f>'Base tabelas'!H24</f>
        <v>52</v>
      </c>
      <c r="BN45" s="209" t="str">
        <f>'Base tabelas'!I24</f>
        <v>RFN - GOV. BAHIA DIG PORTABILIDADE 3</v>
      </c>
      <c r="BO45" s="209" t="str">
        <f>'Base tabelas'!J24</f>
        <v>1,3</v>
      </c>
      <c r="BP45" s="209">
        <f>'Base tabelas'!K24</f>
        <v>1.3000000000000001E-2</v>
      </c>
      <c r="BQ45" s="277">
        <f t="shared" si="57"/>
        <v>2.4576842683118837E-2</v>
      </c>
      <c r="BR45" s="278">
        <f t="shared" si="58"/>
        <v>2.2000000000000002E-2</v>
      </c>
      <c r="BS45" s="279">
        <v>2.9999999999999997E-4</v>
      </c>
      <c r="BT45" s="171"/>
      <c r="BU45" s="118" t="s">
        <v>51</v>
      </c>
      <c r="BV45" s="161">
        <v>53</v>
      </c>
    </row>
    <row r="46" spans="2:115" hidden="1" x14ac:dyDescent="0.25">
      <c r="G46" s="17"/>
      <c r="H46" s="17"/>
      <c r="I46" s="17"/>
      <c r="J46" s="17"/>
      <c r="K46" s="17"/>
      <c r="L46" s="17"/>
      <c r="M46" s="17"/>
      <c r="N46" s="17"/>
      <c r="O46" s="284"/>
      <c r="P46" s="284"/>
      <c r="Q46" s="161">
        <v>28</v>
      </c>
      <c r="R46" s="161">
        <f t="shared" si="47"/>
        <v>56.62</v>
      </c>
      <c r="S46" s="161">
        <f t="shared" si="48"/>
        <v>0</v>
      </c>
      <c r="T46" s="161">
        <f t="shared" si="49"/>
        <v>0</v>
      </c>
      <c r="U46" s="161">
        <f t="shared" si="50"/>
        <v>0</v>
      </c>
      <c r="V46" s="161">
        <f t="shared" si="51"/>
        <v>0</v>
      </c>
      <c r="W46" s="161">
        <f t="shared" si="52"/>
        <v>0</v>
      </c>
      <c r="X46" s="161">
        <f t="shared" si="53"/>
        <v>0</v>
      </c>
      <c r="Y46" s="161">
        <f t="shared" si="54"/>
        <v>0</v>
      </c>
      <c r="Z46" s="161">
        <f t="shared" si="55"/>
        <v>0</v>
      </c>
      <c r="AA46" s="161">
        <f t="shared" si="56"/>
        <v>0</v>
      </c>
      <c r="AB46" s="161"/>
      <c r="AC46" s="168">
        <v>28</v>
      </c>
      <c r="AD46" s="213">
        <f t="shared" ca="1" si="39"/>
        <v>46001</v>
      </c>
      <c r="AE46" s="260">
        <f t="shared" si="13"/>
        <v>56.62</v>
      </c>
      <c r="AF46" s="168"/>
      <c r="AG46" s="233">
        <v>28</v>
      </c>
      <c r="AH46" s="213">
        <f t="shared" ca="1" si="40"/>
        <v>46001</v>
      </c>
      <c r="AI46" s="260">
        <f t="shared" ca="1" si="35"/>
        <v>619.79</v>
      </c>
      <c r="AJ46" s="215">
        <f t="shared" ca="1" si="36"/>
        <v>366.74590002219111</v>
      </c>
      <c r="AK46" s="168">
        <v>28</v>
      </c>
      <c r="AL46" s="213">
        <f t="shared" ca="1" si="41"/>
        <v>46001</v>
      </c>
      <c r="AM46" s="260">
        <f t="shared" ca="1" si="37"/>
        <v>676.41</v>
      </c>
      <c r="AO46" s="161">
        <v>28</v>
      </c>
      <c r="AP46" s="117">
        <f t="shared" si="14"/>
        <v>56.62</v>
      </c>
      <c r="AQ46" s="117">
        <f t="shared" si="15"/>
        <v>0</v>
      </c>
      <c r="AR46" s="117">
        <f t="shared" si="16"/>
        <v>0</v>
      </c>
      <c r="AS46" s="161">
        <f t="shared" si="17"/>
        <v>0</v>
      </c>
      <c r="AT46" s="161">
        <f t="shared" si="18"/>
        <v>0</v>
      </c>
      <c r="AU46" s="161">
        <f t="shared" si="19"/>
        <v>0</v>
      </c>
      <c r="AV46" s="161">
        <f t="shared" si="20"/>
        <v>0</v>
      </c>
      <c r="AW46" s="161">
        <f t="shared" si="21"/>
        <v>0</v>
      </c>
      <c r="AX46" s="161">
        <f t="shared" si="22"/>
        <v>0</v>
      </c>
      <c r="AY46" s="161">
        <f t="shared" si="23"/>
        <v>0</v>
      </c>
      <c r="BD46" s="186" t="str">
        <f t="shared" si="42"/>
        <v>4GOV BAHIA</v>
      </c>
      <c r="BE46" s="186">
        <f t="shared" si="43"/>
        <v>4</v>
      </c>
      <c r="BF46" s="209" t="str">
        <f>'Base tabelas'!A25</f>
        <v>GOV BAHIA</v>
      </c>
      <c r="BG46" s="209" t="str">
        <f>'Base tabelas'!B25</f>
        <v>715364 - Tabela 4</v>
      </c>
      <c r="BH46" s="209">
        <f>'Base tabelas'!C25</f>
        <v>1.95E-2</v>
      </c>
      <c r="BI46" s="209">
        <f>'Base tabelas'!D25</f>
        <v>96</v>
      </c>
      <c r="BJ46" s="209" t="str">
        <f>'Base tabelas'!E25</f>
        <v/>
      </c>
      <c r="BK46" s="209">
        <f>'Base tabelas'!F25</f>
        <v>2.2000000000000002</v>
      </c>
      <c r="BL46" s="209">
        <f>'Base tabelas'!G25</f>
        <v>10</v>
      </c>
      <c r="BM46" s="209">
        <f>'Base tabelas'!H25</f>
        <v>52</v>
      </c>
      <c r="BN46" s="209" t="str">
        <f>'Base tabelas'!I25</f>
        <v>RFN - GOV. BAHIA DIG PORTABILIDADE 4</v>
      </c>
      <c r="BO46" s="209" t="str">
        <f>'Base tabelas'!J25</f>
        <v>1,3</v>
      </c>
      <c r="BP46" s="209">
        <f>'Base tabelas'!K25</f>
        <v>1.3000000000000001E-2</v>
      </c>
      <c r="BQ46" s="277">
        <f t="shared" si="57"/>
        <v>2.4158328920274939E-2</v>
      </c>
      <c r="BR46" s="278">
        <f t="shared" si="58"/>
        <v>2.2000000000000002E-2</v>
      </c>
      <c r="BS46" s="279">
        <v>2.9999999999999997E-4</v>
      </c>
      <c r="BT46" s="171"/>
      <c r="BU46" s="118" t="s">
        <v>170</v>
      </c>
      <c r="BV46" s="161">
        <v>45.75</v>
      </c>
    </row>
    <row r="47" spans="2:115" hidden="1" x14ac:dyDescent="0.25">
      <c r="G47" s="17"/>
      <c r="H47" s="17"/>
      <c r="I47" s="17"/>
      <c r="J47" s="17"/>
      <c r="K47" s="17"/>
      <c r="L47" s="17"/>
      <c r="M47" s="17"/>
      <c r="N47" s="17"/>
      <c r="O47" s="284"/>
      <c r="P47" s="284"/>
      <c r="Q47" s="161">
        <v>29</v>
      </c>
      <c r="R47" s="161">
        <f t="shared" si="47"/>
        <v>56.62</v>
      </c>
      <c r="S47" s="161">
        <f t="shared" si="48"/>
        <v>0</v>
      </c>
      <c r="T47" s="161">
        <f t="shared" si="49"/>
        <v>0</v>
      </c>
      <c r="U47" s="161">
        <f t="shared" si="50"/>
        <v>0</v>
      </c>
      <c r="V47" s="161">
        <f t="shared" si="51"/>
        <v>0</v>
      </c>
      <c r="W47" s="161">
        <f t="shared" si="52"/>
        <v>0</v>
      </c>
      <c r="X47" s="161">
        <f t="shared" si="53"/>
        <v>0</v>
      </c>
      <c r="Y47" s="161">
        <f t="shared" si="54"/>
        <v>0</v>
      </c>
      <c r="Z47" s="161">
        <f t="shared" si="55"/>
        <v>0</v>
      </c>
      <c r="AA47" s="161">
        <f t="shared" si="56"/>
        <v>0</v>
      </c>
      <c r="AB47" s="161"/>
      <c r="AC47" s="168">
        <v>29</v>
      </c>
      <c r="AD47" s="213">
        <f t="shared" ca="1" si="39"/>
        <v>46032</v>
      </c>
      <c r="AE47" s="260">
        <f t="shared" si="13"/>
        <v>56.62</v>
      </c>
      <c r="AF47" s="168"/>
      <c r="AG47" s="233">
        <v>29</v>
      </c>
      <c r="AH47" s="213">
        <f t="shared" ca="1" si="40"/>
        <v>46032</v>
      </c>
      <c r="AI47" s="260">
        <f t="shared" ca="1" si="35"/>
        <v>619.79</v>
      </c>
      <c r="AJ47" s="215">
        <f t="shared" ca="1" si="36"/>
        <v>359.64545180472368</v>
      </c>
      <c r="AK47" s="168">
        <v>29</v>
      </c>
      <c r="AL47" s="213">
        <f t="shared" ca="1" si="41"/>
        <v>46032</v>
      </c>
      <c r="AM47" s="260">
        <f t="shared" ca="1" si="37"/>
        <v>676.41</v>
      </c>
      <c r="AO47" s="161">
        <v>29</v>
      </c>
      <c r="AP47" s="117">
        <f t="shared" si="14"/>
        <v>56.62</v>
      </c>
      <c r="AQ47" s="117">
        <f t="shared" si="15"/>
        <v>0</v>
      </c>
      <c r="AR47" s="117">
        <f t="shared" si="16"/>
        <v>0</v>
      </c>
      <c r="AS47" s="161">
        <f t="shared" si="17"/>
        <v>0</v>
      </c>
      <c r="AT47" s="161">
        <f t="shared" si="18"/>
        <v>0</v>
      </c>
      <c r="AU47" s="161">
        <f t="shared" si="19"/>
        <v>0</v>
      </c>
      <c r="AV47" s="161">
        <f t="shared" si="20"/>
        <v>0</v>
      </c>
      <c r="AW47" s="161">
        <f t="shared" si="21"/>
        <v>0</v>
      </c>
      <c r="AX47" s="161">
        <f t="shared" si="22"/>
        <v>0</v>
      </c>
      <c r="AY47" s="161">
        <f t="shared" si="23"/>
        <v>0</v>
      </c>
      <c r="BD47" s="186" t="str">
        <f t="shared" si="42"/>
        <v>5GOV BAHIA</v>
      </c>
      <c r="BE47" s="186">
        <f t="shared" si="43"/>
        <v>5</v>
      </c>
      <c r="BF47" s="209" t="str">
        <f>'Base tabelas'!A26</f>
        <v>GOV BAHIA</v>
      </c>
      <c r="BG47" s="209" t="str">
        <f>'Base tabelas'!B26</f>
        <v>715365 - Tabela 5</v>
      </c>
      <c r="BH47" s="209">
        <f>'Base tabelas'!C26</f>
        <v>1.9E-2</v>
      </c>
      <c r="BI47" s="209">
        <f>'Base tabelas'!D26</f>
        <v>96</v>
      </c>
      <c r="BJ47" s="209" t="str">
        <f>'Base tabelas'!E26</f>
        <v/>
      </c>
      <c r="BK47" s="209">
        <f>'Base tabelas'!F26</f>
        <v>2.2000000000000002</v>
      </c>
      <c r="BL47" s="209">
        <f>'Base tabelas'!G26</f>
        <v>10</v>
      </c>
      <c r="BM47" s="209">
        <f>'Base tabelas'!H26</f>
        <v>52</v>
      </c>
      <c r="BN47" s="209" t="str">
        <f>'Base tabelas'!I26</f>
        <v>RFN - GOV. BAHIA DIG PORTABILIDADE 5</v>
      </c>
      <c r="BO47" s="209" t="str">
        <f>'Base tabelas'!J26</f>
        <v>1,3</v>
      </c>
      <c r="BP47" s="209">
        <f>'Base tabelas'!K26</f>
        <v>1.3000000000000001E-2</v>
      </c>
      <c r="BQ47" s="277">
        <f t="shared" si="57"/>
        <v>2.3743017300567548E-2</v>
      </c>
      <c r="BR47" s="278">
        <f t="shared" si="58"/>
        <v>2.2000000000000002E-2</v>
      </c>
      <c r="BS47" s="279">
        <v>2.9999999999999997E-4</v>
      </c>
      <c r="BU47" s="118" t="s">
        <v>175</v>
      </c>
      <c r="BV47" s="161">
        <v>46</v>
      </c>
    </row>
    <row r="48" spans="2:115" hidden="1" x14ac:dyDescent="0.25">
      <c r="D48" s="18">
        <f>X8-0.0315%</f>
        <v>1.8785E-2</v>
      </c>
      <c r="G48" s="17"/>
      <c r="H48" s="17"/>
      <c r="I48" s="17"/>
      <c r="J48" s="17"/>
      <c r="K48" s="17"/>
      <c r="L48" s="17"/>
      <c r="M48" s="17"/>
      <c r="N48" s="17"/>
      <c r="O48" s="284"/>
      <c r="P48" s="284"/>
      <c r="Q48" s="161">
        <v>30</v>
      </c>
      <c r="R48" s="161">
        <f t="shared" si="47"/>
        <v>56.62</v>
      </c>
      <c r="S48" s="161">
        <f t="shared" si="48"/>
        <v>0</v>
      </c>
      <c r="T48" s="161">
        <f t="shared" si="49"/>
        <v>0</v>
      </c>
      <c r="U48" s="161">
        <f t="shared" si="50"/>
        <v>0</v>
      </c>
      <c r="V48" s="161">
        <f t="shared" si="51"/>
        <v>0</v>
      </c>
      <c r="W48" s="161">
        <f t="shared" si="52"/>
        <v>0</v>
      </c>
      <c r="X48" s="161">
        <f t="shared" si="53"/>
        <v>0</v>
      </c>
      <c r="Y48" s="161">
        <f t="shared" si="54"/>
        <v>0</v>
      </c>
      <c r="Z48" s="161">
        <f t="shared" si="55"/>
        <v>0</v>
      </c>
      <c r="AA48" s="161">
        <f t="shared" si="56"/>
        <v>0</v>
      </c>
      <c r="AB48" s="161"/>
      <c r="AC48" s="168">
        <v>30</v>
      </c>
      <c r="AD48" s="213">
        <f t="shared" ca="1" si="39"/>
        <v>46063</v>
      </c>
      <c r="AE48" s="260">
        <f t="shared" si="13"/>
        <v>56.62</v>
      </c>
      <c r="AF48" s="168"/>
      <c r="AG48" s="233">
        <v>30</v>
      </c>
      <c r="AH48" s="213">
        <f t="shared" ca="1" si="40"/>
        <v>46063</v>
      </c>
      <c r="AI48" s="260">
        <f t="shared" ca="1" si="35"/>
        <v>619.79</v>
      </c>
      <c r="AJ48" s="215">
        <f t="shared" ca="1" si="36"/>
        <v>352.68247305831471</v>
      </c>
      <c r="AK48" s="168">
        <v>30</v>
      </c>
      <c r="AL48" s="213">
        <f t="shared" ca="1" si="41"/>
        <v>46063</v>
      </c>
      <c r="AM48" s="260">
        <f t="shared" ca="1" si="37"/>
        <v>676.41</v>
      </c>
      <c r="AO48" s="161">
        <v>30</v>
      </c>
      <c r="AP48" s="117">
        <f t="shared" si="14"/>
        <v>56.62</v>
      </c>
      <c r="AQ48" s="117">
        <f t="shared" si="15"/>
        <v>0</v>
      </c>
      <c r="AR48" s="117">
        <f t="shared" si="16"/>
        <v>0</v>
      </c>
      <c r="AS48" s="161">
        <f t="shared" si="17"/>
        <v>0</v>
      </c>
      <c r="AT48" s="161">
        <f t="shared" si="18"/>
        <v>0</v>
      </c>
      <c r="AU48" s="161">
        <f t="shared" si="19"/>
        <v>0</v>
      </c>
      <c r="AV48" s="161">
        <f t="shared" si="20"/>
        <v>0</v>
      </c>
      <c r="AW48" s="161">
        <f t="shared" si="21"/>
        <v>0</v>
      </c>
      <c r="AX48" s="161">
        <f t="shared" si="22"/>
        <v>0</v>
      </c>
      <c r="AY48" s="161">
        <f t="shared" si="23"/>
        <v>0</v>
      </c>
      <c r="BD48" s="186" t="str">
        <f t="shared" si="42"/>
        <v>6GOV BAHIA</v>
      </c>
      <c r="BE48" s="186">
        <f t="shared" si="43"/>
        <v>6</v>
      </c>
      <c r="BF48" s="209" t="str">
        <f>'Base tabelas'!A27</f>
        <v>GOV BAHIA</v>
      </c>
      <c r="BG48" s="209" t="str">
        <f>'Base tabelas'!B27</f>
        <v>715366 - Tabela 6</v>
      </c>
      <c r="BH48" s="209">
        <f>'Base tabelas'!C27</f>
        <v>1.8500000000000003E-2</v>
      </c>
      <c r="BI48" s="209">
        <f>'Base tabelas'!D27</f>
        <v>96</v>
      </c>
      <c r="BJ48" s="209" t="str">
        <f>'Base tabelas'!E27</f>
        <v/>
      </c>
      <c r="BK48" s="209">
        <f>'Base tabelas'!F27</f>
        <v>2.2000000000000002</v>
      </c>
      <c r="BL48" s="209">
        <f>'Base tabelas'!G27</f>
        <v>10</v>
      </c>
      <c r="BM48" s="209">
        <f>'Base tabelas'!H27</f>
        <v>52</v>
      </c>
      <c r="BN48" s="209" t="str">
        <f>'Base tabelas'!I27</f>
        <v>RFN - GOV. BAHIA DIG PORTABILIDADE 6</v>
      </c>
      <c r="BO48" s="209" t="str">
        <f>'Base tabelas'!J27</f>
        <v>1,3</v>
      </c>
      <c r="BP48" s="209">
        <f>'Base tabelas'!K27</f>
        <v>1.3000000000000001E-2</v>
      </c>
      <c r="BQ48" s="277">
        <f t="shared" si="57"/>
        <v>2.3330954470161609E-2</v>
      </c>
      <c r="BR48" s="278">
        <f t="shared" si="58"/>
        <v>2.2000000000000002E-2</v>
      </c>
      <c r="BS48" s="279">
        <v>2.9999999999999997E-4</v>
      </c>
      <c r="BU48" s="118" t="s">
        <v>177</v>
      </c>
      <c r="BV48" s="161">
        <v>72</v>
      </c>
    </row>
    <row r="49" spans="3:74" hidden="1" x14ac:dyDescent="0.25">
      <c r="C49">
        <v>0</v>
      </c>
      <c r="D49" s="10">
        <f ca="1">AE10</f>
        <v>45169</v>
      </c>
      <c r="E49" s="1">
        <f t="shared" ref="E49:N49" si="72">-E16</f>
        <v>-2588.86</v>
      </c>
      <c r="F49" s="1">
        <f t="shared" si="72"/>
        <v>0</v>
      </c>
      <c r="G49" s="1">
        <f t="shared" si="72"/>
        <v>0</v>
      </c>
      <c r="H49" s="1">
        <f t="shared" si="72"/>
        <v>0</v>
      </c>
      <c r="I49" s="1">
        <f t="shared" si="72"/>
        <v>0</v>
      </c>
      <c r="J49" s="1">
        <f t="shared" si="72"/>
        <v>0</v>
      </c>
      <c r="K49" s="1">
        <f t="shared" si="72"/>
        <v>0</v>
      </c>
      <c r="L49" s="1">
        <f t="shared" si="72"/>
        <v>0</v>
      </c>
      <c r="M49" s="1">
        <f t="shared" si="72"/>
        <v>0</v>
      </c>
      <c r="N49" s="1">
        <f t="shared" si="72"/>
        <v>0</v>
      </c>
      <c r="O49" s="216"/>
      <c r="P49" s="284"/>
      <c r="Q49" s="161">
        <v>31</v>
      </c>
      <c r="R49" s="161">
        <f t="shared" si="47"/>
        <v>56.62</v>
      </c>
      <c r="S49" s="161">
        <f t="shared" si="48"/>
        <v>0</v>
      </c>
      <c r="T49" s="161">
        <f t="shared" si="49"/>
        <v>0</v>
      </c>
      <c r="U49" s="161">
        <f t="shared" si="50"/>
        <v>0</v>
      </c>
      <c r="V49" s="161">
        <f t="shared" si="51"/>
        <v>0</v>
      </c>
      <c r="W49" s="161">
        <f t="shared" si="52"/>
        <v>0</v>
      </c>
      <c r="X49" s="161">
        <f t="shared" si="53"/>
        <v>0</v>
      </c>
      <c r="Y49" s="161">
        <f t="shared" si="54"/>
        <v>0</v>
      </c>
      <c r="Z49" s="161">
        <f t="shared" si="55"/>
        <v>0</v>
      </c>
      <c r="AA49" s="161">
        <f t="shared" si="56"/>
        <v>0</v>
      </c>
      <c r="AB49" s="161"/>
      <c r="AC49" s="168">
        <v>31</v>
      </c>
      <c r="AD49" s="213">
        <f t="shared" ca="1" si="39"/>
        <v>46091</v>
      </c>
      <c r="AE49" s="260">
        <f t="shared" si="13"/>
        <v>56.62</v>
      </c>
      <c r="AF49" s="168"/>
      <c r="AG49" s="233">
        <v>31</v>
      </c>
      <c r="AH49" s="213">
        <f t="shared" ca="1" si="40"/>
        <v>46091</v>
      </c>
      <c r="AI49" s="260">
        <f t="shared" ca="1" si="35"/>
        <v>619.79</v>
      </c>
      <c r="AJ49" s="215">
        <f t="shared" ca="1" si="36"/>
        <v>346.50927404282487</v>
      </c>
      <c r="AK49" s="168">
        <v>31</v>
      </c>
      <c r="AL49" s="213">
        <f t="shared" ca="1" si="41"/>
        <v>46091</v>
      </c>
      <c r="AM49" s="260">
        <f t="shared" ca="1" si="37"/>
        <v>676.41</v>
      </c>
      <c r="AO49" s="161">
        <v>31</v>
      </c>
      <c r="AP49" s="117">
        <f t="shared" si="14"/>
        <v>56.62</v>
      </c>
      <c r="AQ49" s="117">
        <f t="shared" si="15"/>
        <v>0</v>
      </c>
      <c r="AR49" s="117">
        <f t="shared" si="16"/>
        <v>0</v>
      </c>
      <c r="AS49" s="161">
        <f t="shared" si="17"/>
        <v>0</v>
      </c>
      <c r="AT49" s="161">
        <f t="shared" si="18"/>
        <v>0</v>
      </c>
      <c r="AU49" s="161">
        <f t="shared" si="19"/>
        <v>0</v>
      </c>
      <c r="AV49" s="161">
        <f t="shared" si="20"/>
        <v>0</v>
      </c>
      <c r="AW49" s="161">
        <f t="shared" si="21"/>
        <v>0</v>
      </c>
      <c r="AX49" s="161">
        <f t="shared" si="22"/>
        <v>0</v>
      </c>
      <c r="AY49" s="161">
        <f t="shared" si="23"/>
        <v>0</v>
      </c>
      <c r="BD49" s="186" t="str">
        <f t="shared" si="42"/>
        <v>1GOV ES</v>
      </c>
      <c r="BE49" s="186">
        <f t="shared" si="43"/>
        <v>1</v>
      </c>
      <c r="BF49" s="209" t="str">
        <f>'Base tabelas'!A28</f>
        <v>GOV ES</v>
      </c>
      <c r="BG49" s="209" t="str">
        <f>'Base tabelas'!B28</f>
        <v>705181 - Tabela 1</v>
      </c>
      <c r="BH49" s="209">
        <f>'Base tabelas'!C28</f>
        <v>1.8000000000000002E-2</v>
      </c>
      <c r="BI49" s="209">
        <f>'Base tabelas'!D28</f>
        <v>120</v>
      </c>
      <c r="BJ49" s="209" t="str">
        <f>'Base tabelas'!E28</f>
        <v/>
      </c>
      <c r="BK49" s="209">
        <f>'Base tabelas'!F28</f>
        <v>1.8</v>
      </c>
      <c r="BL49" s="209">
        <f>'Base tabelas'!G28</f>
        <v>20</v>
      </c>
      <c r="BM49" s="209">
        <f>'Base tabelas'!H28</f>
        <v>69</v>
      </c>
      <c r="BN49" s="209" t="str">
        <f>'Base tabelas'!I28</f>
        <v>RFN - GOV. ES DIG 1 PORTAB</v>
      </c>
      <c r="BO49" s="209" t="str">
        <f>'Base tabelas'!J28</f>
        <v>1,11</v>
      </c>
      <c r="BP49" s="209">
        <f>'Base tabelas'!K28</f>
        <v>1.11E-2</v>
      </c>
      <c r="BQ49" s="277">
        <f t="shared" si="57"/>
        <v>2.1506476799499862E-2</v>
      </c>
      <c r="BR49" s="278">
        <f t="shared" si="58"/>
        <v>1.8000000000000002E-2</v>
      </c>
      <c r="BS49" s="279">
        <v>2.9999999999999997E-4</v>
      </c>
      <c r="BU49" s="118" t="s">
        <v>35</v>
      </c>
      <c r="BV49" s="161">
        <v>49</v>
      </c>
    </row>
    <row r="50" spans="3:74" hidden="1" x14ac:dyDescent="0.25">
      <c r="C50">
        <v>1</v>
      </c>
      <c r="D50" s="10">
        <f ca="1">X10</f>
        <v>45179</v>
      </c>
      <c r="E50" s="14">
        <f t="shared" ref="E50:N59" ca="1" si="73">IF($C50&lt;=E$17,E$18/(($D$48+1)^(($D50-$D$49)/30)),0)</f>
        <v>56.269840529258268</v>
      </c>
      <c r="F50" s="14">
        <f t="shared" si="73"/>
        <v>0</v>
      </c>
      <c r="G50" s="14">
        <f t="shared" si="73"/>
        <v>0</v>
      </c>
      <c r="H50" s="14">
        <f t="shared" si="73"/>
        <v>0</v>
      </c>
      <c r="I50" s="14">
        <f t="shared" si="73"/>
        <v>0</v>
      </c>
      <c r="J50" s="14">
        <f t="shared" si="73"/>
        <v>0</v>
      </c>
      <c r="K50" s="14">
        <f t="shared" si="73"/>
        <v>0</v>
      </c>
      <c r="L50" s="14">
        <f t="shared" si="73"/>
        <v>0</v>
      </c>
      <c r="M50" s="14">
        <f t="shared" si="73"/>
        <v>0</v>
      </c>
      <c r="N50" s="14">
        <f t="shared" si="73"/>
        <v>0</v>
      </c>
      <c r="O50" s="224"/>
      <c r="P50" s="284"/>
      <c r="Q50" s="161">
        <v>32</v>
      </c>
      <c r="R50" s="161">
        <f t="shared" si="47"/>
        <v>56.62</v>
      </c>
      <c r="S50" s="161">
        <f t="shared" si="48"/>
        <v>0</v>
      </c>
      <c r="T50" s="161">
        <f t="shared" si="49"/>
        <v>0</v>
      </c>
      <c r="U50" s="161">
        <f t="shared" si="50"/>
        <v>0</v>
      </c>
      <c r="V50" s="161">
        <f t="shared" si="51"/>
        <v>0</v>
      </c>
      <c r="W50" s="161">
        <f t="shared" si="52"/>
        <v>0</v>
      </c>
      <c r="X50" s="161">
        <f t="shared" si="53"/>
        <v>0</v>
      </c>
      <c r="Y50" s="161">
        <f t="shared" si="54"/>
        <v>0</v>
      </c>
      <c r="Z50" s="161">
        <f t="shared" si="55"/>
        <v>0</v>
      </c>
      <c r="AA50" s="161">
        <f t="shared" si="56"/>
        <v>0</v>
      </c>
      <c r="AB50" s="161"/>
      <c r="AC50" s="168">
        <v>32</v>
      </c>
      <c r="AD50" s="213">
        <f t="shared" ca="1" si="39"/>
        <v>46122</v>
      </c>
      <c r="AE50" s="260">
        <f t="shared" si="13"/>
        <v>56.62</v>
      </c>
      <c r="AF50" s="168"/>
      <c r="AG50" s="233">
        <v>32</v>
      </c>
      <c r="AH50" s="213">
        <f t="shared" ca="1" si="40"/>
        <v>46122</v>
      </c>
      <c r="AI50" s="260">
        <f t="shared" ca="1" si="35"/>
        <v>619.79</v>
      </c>
      <c r="AJ50" s="215">
        <f t="shared" ca="1" si="36"/>
        <v>339.80062056622302</v>
      </c>
      <c r="AK50" s="168">
        <v>32</v>
      </c>
      <c r="AL50" s="213">
        <f t="shared" ca="1" si="41"/>
        <v>46122</v>
      </c>
      <c r="AM50" s="260">
        <f t="shared" ca="1" si="37"/>
        <v>676.41</v>
      </c>
      <c r="AO50" s="161">
        <v>32</v>
      </c>
      <c r="AP50" s="117">
        <f t="shared" si="14"/>
        <v>56.62</v>
      </c>
      <c r="AQ50" s="117">
        <f t="shared" si="15"/>
        <v>0</v>
      </c>
      <c r="AR50" s="117">
        <f t="shared" si="16"/>
        <v>0</v>
      </c>
      <c r="AS50" s="161">
        <f t="shared" si="17"/>
        <v>0</v>
      </c>
      <c r="AT50" s="161">
        <f t="shared" si="18"/>
        <v>0</v>
      </c>
      <c r="AU50" s="161">
        <f t="shared" si="19"/>
        <v>0</v>
      </c>
      <c r="AV50" s="161">
        <f t="shared" si="20"/>
        <v>0</v>
      </c>
      <c r="AW50" s="161">
        <f t="shared" si="21"/>
        <v>0</v>
      </c>
      <c r="AX50" s="161">
        <f t="shared" si="22"/>
        <v>0</v>
      </c>
      <c r="AY50" s="161">
        <f t="shared" si="23"/>
        <v>0</v>
      </c>
      <c r="BD50" s="186" t="str">
        <f t="shared" si="42"/>
        <v>2GOV ES</v>
      </c>
      <c r="BE50" s="186">
        <f t="shared" si="43"/>
        <v>2</v>
      </c>
      <c r="BF50" s="209" t="str">
        <f>'Base tabelas'!A29</f>
        <v>GOV ES</v>
      </c>
      <c r="BG50" s="209" t="str">
        <f>'Base tabelas'!B29</f>
        <v>705187 - Tabela 4</v>
      </c>
      <c r="BH50" s="209">
        <f>'Base tabelas'!C29</f>
        <v>1.66E-2</v>
      </c>
      <c r="BI50" s="209">
        <f>'Base tabelas'!D29</f>
        <v>120</v>
      </c>
      <c r="BJ50" s="209" t="str">
        <f>'Base tabelas'!E29</f>
        <v/>
      </c>
      <c r="BK50" s="209">
        <f>'Base tabelas'!F29</f>
        <v>1.8</v>
      </c>
      <c r="BL50" s="209">
        <f>'Base tabelas'!G29</f>
        <v>20</v>
      </c>
      <c r="BM50" s="209">
        <f>'Base tabelas'!H29</f>
        <v>69</v>
      </c>
      <c r="BN50" s="209" t="str">
        <f>'Base tabelas'!I29</f>
        <v>RFN - GOV. ES DIG 4 PORTAB</v>
      </c>
      <c r="BO50" s="209" t="str">
        <f>'Base tabelas'!J29</f>
        <v>1,11</v>
      </c>
      <c r="BP50" s="209">
        <f>'Base tabelas'!K29</f>
        <v>1.11E-2</v>
      </c>
      <c r="BQ50" s="277">
        <f t="shared" si="57"/>
        <v>2.0283520198803775E-2</v>
      </c>
      <c r="BR50" s="278">
        <f t="shared" si="58"/>
        <v>1.8000000000000002E-2</v>
      </c>
      <c r="BS50" s="279">
        <v>2.9999999999999997E-4</v>
      </c>
      <c r="BU50" s="118" t="s">
        <v>181</v>
      </c>
      <c r="BV50" s="161">
        <v>49.333333333333336</v>
      </c>
    </row>
    <row r="51" spans="3:74" hidden="1" x14ac:dyDescent="0.25">
      <c r="C51">
        <v>2</v>
      </c>
      <c r="D51" s="10">
        <f t="shared" ref="D51:D82" ca="1" si="74">EDATE(D50,1)</f>
        <v>45209</v>
      </c>
      <c r="E51" s="14">
        <f t="shared" ca="1" si="73"/>
        <v>55.232301741052581</v>
      </c>
      <c r="F51" s="14">
        <f t="shared" si="73"/>
        <v>0</v>
      </c>
      <c r="G51" s="14">
        <f t="shared" si="73"/>
        <v>0</v>
      </c>
      <c r="H51" s="14">
        <f t="shared" si="73"/>
        <v>0</v>
      </c>
      <c r="I51" s="14">
        <f t="shared" si="73"/>
        <v>0</v>
      </c>
      <c r="J51" s="14">
        <f t="shared" si="73"/>
        <v>0</v>
      </c>
      <c r="K51" s="14">
        <f t="shared" si="73"/>
        <v>0</v>
      </c>
      <c r="L51" s="14">
        <f t="shared" si="73"/>
        <v>0</v>
      </c>
      <c r="M51" s="14">
        <f t="shared" si="73"/>
        <v>0</v>
      </c>
      <c r="N51" s="14">
        <f t="shared" si="73"/>
        <v>0</v>
      </c>
      <c r="O51" s="224"/>
      <c r="P51" s="284"/>
      <c r="Q51" s="161">
        <v>33</v>
      </c>
      <c r="R51" s="161">
        <f t="shared" si="47"/>
        <v>56.62</v>
      </c>
      <c r="S51" s="161">
        <f t="shared" si="48"/>
        <v>0</v>
      </c>
      <c r="T51" s="161">
        <f t="shared" si="49"/>
        <v>0</v>
      </c>
      <c r="U51" s="161">
        <f t="shared" si="50"/>
        <v>0</v>
      </c>
      <c r="V51" s="161">
        <f t="shared" si="51"/>
        <v>0</v>
      </c>
      <c r="W51" s="161">
        <f t="shared" si="52"/>
        <v>0</v>
      </c>
      <c r="X51" s="161">
        <f t="shared" si="53"/>
        <v>0</v>
      </c>
      <c r="Y51" s="161">
        <f t="shared" si="54"/>
        <v>0</v>
      </c>
      <c r="Z51" s="161">
        <f t="shared" si="55"/>
        <v>0</v>
      </c>
      <c r="AA51" s="161">
        <f t="shared" si="56"/>
        <v>0</v>
      </c>
      <c r="AB51" s="161"/>
      <c r="AC51" s="168">
        <v>33</v>
      </c>
      <c r="AD51" s="213">
        <f t="shared" ca="1" si="39"/>
        <v>46152</v>
      </c>
      <c r="AE51" s="260">
        <f t="shared" ref="AE51:AE82" si="75">SUM(R51:AA51)</f>
        <v>56.62</v>
      </c>
      <c r="AF51" s="168"/>
      <c r="AG51" s="233">
        <v>33</v>
      </c>
      <c r="AH51" s="213">
        <f t="shared" ca="1" si="40"/>
        <v>46152</v>
      </c>
      <c r="AI51" s="260">
        <f t="shared" ca="1" si="35"/>
        <v>619.79</v>
      </c>
      <c r="AJ51" s="215">
        <f t="shared" ca="1" si="36"/>
        <v>333.43206806615945</v>
      </c>
      <c r="AK51" s="168">
        <v>33</v>
      </c>
      <c r="AL51" s="213">
        <f t="shared" ca="1" si="41"/>
        <v>46152</v>
      </c>
      <c r="AM51" s="260">
        <f t="shared" ca="1" si="37"/>
        <v>676.41</v>
      </c>
      <c r="AO51" s="161">
        <v>33</v>
      </c>
      <c r="AP51" s="117">
        <f t="shared" ref="AP51:AP82" si="76">IF($Q51&lt;=E$17,E$18,0)</f>
        <v>56.62</v>
      </c>
      <c r="AQ51" s="117">
        <f t="shared" ref="AQ51:AQ82" si="77">IF($Q51&lt;=F$17,F$18,0)</f>
        <v>0</v>
      </c>
      <c r="AR51" s="117">
        <f t="shared" ref="AR51:AR82" si="78">IF($Q51&lt;=G$17,G$18,0)</f>
        <v>0</v>
      </c>
      <c r="AS51" s="161">
        <f t="shared" ref="AS51:AS82" si="79">IF($Q51&lt;=H$17,H$18,0)</f>
        <v>0</v>
      </c>
      <c r="AT51" s="161">
        <f t="shared" ref="AT51:AT82" si="80">IF($Q51&lt;=I$17,I$18,0)</f>
        <v>0</v>
      </c>
      <c r="AU51" s="161">
        <f t="shared" ref="AU51:AU82" si="81">IF($Q51&lt;=J$17,J$18,0)</f>
        <v>0</v>
      </c>
      <c r="AV51" s="161">
        <f t="shared" ref="AV51:AV82" si="82">IF($Q51&lt;=K$17,K$18,0)</f>
        <v>0</v>
      </c>
      <c r="AW51" s="161">
        <f t="shared" ref="AW51:AW82" si="83">IF($Q51&lt;=L$17,L$18,0)</f>
        <v>0</v>
      </c>
      <c r="AX51" s="161">
        <f t="shared" ref="AX51:AX82" si="84">IF($Q51&lt;=M$17,M$18,0)</f>
        <v>0</v>
      </c>
      <c r="AY51" s="161">
        <f t="shared" ref="AY51:AY82" si="85">IF($Q51&lt;=N$17,N$18,0)</f>
        <v>0</v>
      </c>
      <c r="BD51" s="186" t="str">
        <f t="shared" si="42"/>
        <v>1GOV GO</v>
      </c>
      <c r="BE51" s="186">
        <f t="shared" si="43"/>
        <v>1</v>
      </c>
      <c r="BF51" s="209" t="str">
        <f>'Base tabelas'!A30</f>
        <v>GOV GO</v>
      </c>
      <c r="BG51" s="209" t="str">
        <f>'Base tabelas'!B30</f>
        <v>745106 - Tabela 1</v>
      </c>
      <c r="BH51" s="209">
        <f>'Base tabelas'!C30</f>
        <v>2.12E-2</v>
      </c>
      <c r="BI51" s="209">
        <f>'Base tabelas'!D30</f>
        <v>96</v>
      </c>
      <c r="BJ51" s="209" t="str">
        <f>'Base tabelas'!E30</f>
        <v/>
      </c>
      <c r="BK51" s="209">
        <f>'Base tabelas'!F30</f>
        <v>2.12</v>
      </c>
      <c r="BL51" s="209">
        <f>'Base tabelas'!G30</f>
        <v>10</v>
      </c>
      <c r="BM51" s="209">
        <f>'Base tabelas'!H30</f>
        <v>54</v>
      </c>
      <c r="BN51" s="209" t="str">
        <f>'Base tabelas'!I30</f>
        <v>RFN - GOV. GOIAS 1 DIG PORTAB</v>
      </c>
      <c r="BO51" s="209" t="str">
        <f>'Base tabelas'!J30</f>
        <v>1,87</v>
      </c>
      <c r="BP51" s="209">
        <f>'Base tabelas'!K30</f>
        <v>1.8700000000000001E-2</v>
      </c>
      <c r="BQ51" s="277">
        <f t="shared" si="57"/>
        <v>2.5629879201284449E-2</v>
      </c>
      <c r="BR51" s="278">
        <f t="shared" si="58"/>
        <v>2.12E-2</v>
      </c>
      <c r="BS51" s="279">
        <v>2.9999999999999997E-4</v>
      </c>
      <c r="BU51" s="118" t="s">
        <v>184</v>
      </c>
      <c r="BV51" s="161">
        <v>48.25</v>
      </c>
    </row>
    <row r="52" spans="3:74" hidden="1" x14ac:dyDescent="0.25">
      <c r="C52">
        <v>3</v>
      </c>
      <c r="D52" s="10">
        <f t="shared" ca="1" si="74"/>
        <v>45240</v>
      </c>
      <c r="E52" s="14">
        <f t="shared" ca="1" si="73"/>
        <v>54.180272152643425</v>
      </c>
      <c r="F52" s="14">
        <f t="shared" si="73"/>
        <v>0</v>
      </c>
      <c r="G52" s="14">
        <f t="shared" si="73"/>
        <v>0</v>
      </c>
      <c r="H52" s="14">
        <f t="shared" si="73"/>
        <v>0</v>
      </c>
      <c r="I52" s="14">
        <f t="shared" si="73"/>
        <v>0</v>
      </c>
      <c r="J52" s="14">
        <f t="shared" si="73"/>
        <v>0</v>
      </c>
      <c r="K52" s="14">
        <f t="shared" si="73"/>
        <v>0</v>
      </c>
      <c r="L52" s="14">
        <f t="shared" si="73"/>
        <v>0</v>
      </c>
      <c r="M52" s="14">
        <f t="shared" si="73"/>
        <v>0</v>
      </c>
      <c r="N52" s="14">
        <f t="shared" si="73"/>
        <v>0</v>
      </c>
      <c r="O52" s="224"/>
      <c r="P52" s="284"/>
      <c r="Q52" s="161">
        <v>34</v>
      </c>
      <c r="R52" s="161">
        <f t="shared" si="47"/>
        <v>56.62</v>
      </c>
      <c r="S52" s="161">
        <f t="shared" si="48"/>
        <v>0</v>
      </c>
      <c r="T52" s="161">
        <f t="shared" si="49"/>
        <v>0</v>
      </c>
      <c r="U52" s="161">
        <f t="shared" si="50"/>
        <v>0</v>
      </c>
      <c r="V52" s="161">
        <f t="shared" si="51"/>
        <v>0</v>
      </c>
      <c r="W52" s="161">
        <f t="shared" si="52"/>
        <v>0</v>
      </c>
      <c r="X52" s="161">
        <f t="shared" si="53"/>
        <v>0</v>
      </c>
      <c r="Y52" s="161">
        <f t="shared" si="54"/>
        <v>0</v>
      </c>
      <c r="Z52" s="161">
        <f t="shared" si="55"/>
        <v>0</v>
      </c>
      <c r="AA52" s="161">
        <f t="shared" si="56"/>
        <v>0</v>
      </c>
      <c r="AB52" s="161"/>
      <c r="AC52" s="168">
        <v>34</v>
      </c>
      <c r="AD52" s="213">
        <f t="shared" ca="1" si="39"/>
        <v>46183</v>
      </c>
      <c r="AE52" s="260">
        <f t="shared" si="75"/>
        <v>56.62</v>
      </c>
      <c r="AF52" s="168"/>
      <c r="AG52" s="233">
        <v>34</v>
      </c>
      <c r="AH52" s="213">
        <f t="shared" ca="1" si="40"/>
        <v>46183</v>
      </c>
      <c r="AI52" s="260">
        <f t="shared" ca="1" si="35"/>
        <v>619.79</v>
      </c>
      <c r="AJ52" s="215">
        <f t="shared" ca="1" si="36"/>
        <v>326.97659812579042</v>
      </c>
      <c r="AK52" s="168">
        <v>34</v>
      </c>
      <c r="AL52" s="213">
        <f t="shared" ca="1" si="41"/>
        <v>46183</v>
      </c>
      <c r="AM52" s="260">
        <f t="shared" ca="1" si="37"/>
        <v>676.41</v>
      </c>
      <c r="AO52" s="161">
        <v>34</v>
      </c>
      <c r="AP52" s="117">
        <f t="shared" si="76"/>
        <v>56.62</v>
      </c>
      <c r="AQ52" s="117">
        <f t="shared" si="77"/>
        <v>0</v>
      </c>
      <c r="AR52" s="117">
        <f t="shared" si="78"/>
        <v>0</v>
      </c>
      <c r="AS52" s="161">
        <f t="shared" si="79"/>
        <v>0</v>
      </c>
      <c r="AT52" s="161">
        <f t="shared" si="80"/>
        <v>0</v>
      </c>
      <c r="AU52" s="161">
        <f t="shared" si="81"/>
        <v>0</v>
      </c>
      <c r="AV52" s="161">
        <f t="shared" si="82"/>
        <v>0</v>
      </c>
      <c r="AW52" s="161">
        <f t="shared" si="83"/>
        <v>0</v>
      </c>
      <c r="AX52" s="161">
        <f t="shared" si="84"/>
        <v>0</v>
      </c>
      <c r="AY52" s="161">
        <f t="shared" si="85"/>
        <v>0</v>
      </c>
      <c r="BD52" s="186" t="str">
        <f t="shared" si="42"/>
        <v>1GOV MA</v>
      </c>
      <c r="BE52" s="186">
        <f t="shared" si="43"/>
        <v>1</v>
      </c>
      <c r="BF52" s="209" t="str">
        <f>'Base tabelas'!A31</f>
        <v>GOV MA</v>
      </c>
      <c r="BG52" s="209" t="str">
        <f>'Base tabelas'!B31</f>
        <v>785041 - Tabela 1</v>
      </c>
      <c r="BH52" s="209">
        <f>'Base tabelas'!C31</f>
        <v>2.2700000000000001E-2</v>
      </c>
      <c r="BI52" s="209">
        <f>'Base tabelas'!D31</f>
        <v>120</v>
      </c>
      <c r="BJ52" s="209" t="str">
        <f>'Base tabelas'!E31</f>
        <v/>
      </c>
      <c r="BK52" s="209">
        <f>'Base tabelas'!F31</f>
        <v>2.2999999999999998</v>
      </c>
      <c r="BL52" s="209">
        <f>'Base tabelas'!G31</f>
        <v>15</v>
      </c>
      <c r="BM52" s="209">
        <f>'Base tabelas'!H31</f>
        <v>59</v>
      </c>
      <c r="BN52" s="209" t="str">
        <f>'Base tabelas'!I31</f>
        <v>RFN - GOV. MARANHAO DIG 1 PORTABILIDADE</v>
      </c>
      <c r="BO52" s="209" t="str">
        <f>'Base tabelas'!J31</f>
        <v>1,7</v>
      </c>
      <c r="BP52" s="209">
        <f>'Base tabelas'!K31</f>
        <v>1.7000000000000001E-2</v>
      </c>
      <c r="BQ52" s="277">
        <f t="shared" si="57"/>
        <v>2.5631548781435979E-2</v>
      </c>
      <c r="BR52" s="278">
        <f t="shared" si="58"/>
        <v>2.3E-2</v>
      </c>
      <c r="BS52" s="279">
        <v>2.9999999999999997E-4</v>
      </c>
      <c r="BU52" s="118" t="s">
        <v>188</v>
      </c>
      <c r="BV52" s="161">
        <v>59</v>
      </c>
    </row>
    <row r="53" spans="3:74" hidden="1" x14ac:dyDescent="0.25">
      <c r="C53">
        <v>4</v>
      </c>
      <c r="D53" s="10">
        <f t="shared" ca="1" si="74"/>
        <v>45270</v>
      </c>
      <c r="E53" s="14">
        <f t="shared" ca="1" si="73"/>
        <v>53.181262143281884</v>
      </c>
      <c r="F53" s="14">
        <f t="shared" si="73"/>
        <v>0</v>
      </c>
      <c r="G53" s="14">
        <f t="shared" si="73"/>
        <v>0</v>
      </c>
      <c r="H53" s="14">
        <f t="shared" si="73"/>
        <v>0</v>
      </c>
      <c r="I53" s="14">
        <f t="shared" si="73"/>
        <v>0</v>
      </c>
      <c r="J53" s="14">
        <f t="shared" si="73"/>
        <v>0</v>
      </c>
      <c r="K53" s="14">
        <f t="shared" si="73"/>
        <v>0</v>
      </c>
      <c r="L53" s="14">
        <f t="shared" si="73"/>
        <v>0</v>
      </c>
      <c r="M53" s="14">
        <f t="shared" si="73"/>
        <v>0</v>
      </c>
      <c r="N53" s="14">
        <f t="shared" si="73"/>
        <v>0</v>
      </c>
      <c r="O53" s="224"/>
      <c r="P53" s="284"/>
      <c r="Q53" s="161">
        <v>35</v>
      </c>
      <c r="R53" s="161">
        <f t="shared" si="47"/>
        <v>56.62</v>
      </c>
      <c r="S53" s="161">
        <f t="shared" si="48"/>
        <v>0</v>
      </c>
      <c r="T53" s="161">
        <f t="shared" si="49"/>
        <v>0</v>
      </c>
      <c r="U53" s="161">
        <f t="shared" si="50"/>
        <v>0</v>
      </c>
      <c r="V53" s="161">
        <f t="shared" si="51"/>
        <v>0</v>
      </c>
      <c r="W53" s="161">
        <f t="shared" si="52"/>
        <v>0</v>
      </c>
      <c r="X53" s="161">
        <f t="shared" si="53"/>
        <v>0</v>
      </c>
      <c r="Y53" s="161">
        <f t="shared" si="54"/>
        <v>0</v>
      </c>
      <c r="Z53" s="161">
        <f t="shared" si="55"/>
        <v>0</v>
      </c>
      <c r="AA53" s="161">
        <f t="shared" si="56"/>
        <v>0</v>
      </c>
      <c r="AB53" s="161"/>
      <c r="AC53" s="168">
        <v>35</v>
      </c>
      <c r="AD53" s="213">
        <f t="shared" ca="1" si="39"/>
        <v>46213</v>
      </c>
      <c r="AE53" s="260">
        <f t="shared" si="75"/>
        <v>56.62</v>
      </c>
      <c r="AF53" s="168"/>
      <c r="AG53" s="233">
        <v>35</v>
      </c>
      <c r="AH53" s="213">
        <f t="shared" ca="1" si="40"/>
        <v>46213</v>
      </c>
      <c r="AI53" s="260">
        <f t="shared" ca="1" si="35"/>
        <v>619.79</v>
      </c>
      <c r="AJ53" s="215">
        <f t="shared" ca="1" si="36"/>
        <v>320.84839380413149</v>
      </c>
      <c r="AK53" s="168">
        <v>35</v>
      </c>
      <c r="AL53" s="213">
        <f t="shared" ca="1" si="41"/>
        <v>46213</v>
      </c>
      <c r="AM53" s="260">
        <f t="shared" ca="1" si="37"/>
        <v>676.41</v>
      </c>
      <c r="AO53" s="161">
        <v>35</v>
      </c>
      <c r="AP53" s="117">
        <f t="shared" si="76"/>
        <v>56.62</v>
      </c>
      <c r="AQ53" s="117">
        <f t="shared" si="77"/>
        <v>0</v>
      </c>
      <c r="AR53" s="117">
        <f t="shared" si="78"/>
        <v>0</v>
      </c>
      <c r="AS53" s="161">
        <f t="shared" si="79"/>
        <v>0</v>
      </c>
      <c r="AT53" s="161">
        <f t="shared" si="80"/>
        <v>0</v>
      </c>
      <c r="AU53" s="161">
        <f t="shared" si="81"/>
        <v>0</v>
      </c>
      <c r="AV53" s="161">
        <f t="shared" si="82"/>
        <v>0</v>
      </c>
      <c r="AW53" s="161">
        <f t="shared" si="83"/>
        <v>0</v>
      </c>
      <c r="AX53" s="161">
        <f t="shared" si="84"/>
        <v>0</v>
      </c>
      <c r="AY53" s="161">
        <f t="shared" si="85"/>
        <v>0</v>
      </c>
      <c r="BD53" s="186" t="str">
        <f t="shared" si="42"/>
        <v>2GOV MA</v>
      </c>
      <c r="BE53" s="186">
        <f t="shared" si="43"/>
        <v>2</v>
      </c>
      <c r="BF53" s="209" t="str">
        <f>'Base tabelas'!A32</f>
        <v>GOV MA</v>
      </c>
      <c r="BG53" s="209" t="str">
        <f>'Base tabelas'!B32</f>
        <v>785042 - Tabela 2</v>
      </c>
      <c r="BH53" s="209">
        <f>'Base tabelas'!C32</f>
        <v>2.1700000000000001E-2</v>
      </c>
      <c r="BI53" s="209">
        <f>'Base tabelas'!D32</f>
        <v>120</v>
      </c>
      <c r="BJ53" s="209" t="str">
        <f>'Base tabelas'!E32</f>
        <v/>
      </c>
      <c r="BK53" s="209">
        <f>'Base tabelas'!F32</f>
        <v>2.2999999999999998</v>
      </c>
      <c r="BL53" s="209">
        <f>'Base tabelas'!G32</f>
        <v>15</v>
      </c>
      <c r="BM53" s="209">
        <f>'Base tabelas'!H32</f>
        <v>53</v>
      </c>
      <c r="BN53" s="209" t="str">
        <f>'Base tabelas'!I32</f>
        <v>RFN - GOV. MARANHAO DIG 2 PORTABILIDADE</v>
      </c>
      <c r="BO53" s="209" t="str">
        <f>'Base tabelas'!J32</f>
        <v>1,7</v>
      </c>
      <c r="BP53" s="209">
        <f>'Base tabelas'!K32</f>
        <v>1.7000000000000001E-2</v>
      </c>
      <c r="BQ53" s="277">
        <f t="shared" si="57"/>
        <v>2.4596640892077366E-2</v>
      </c>
      <c r="BR53" s="278">
        <f t="shared" si="58"/>
        <v>2.3E-2</v>
      </c>
      <c r="BS53" s="279">
        <v>2.9999999999999997E-4</v>
      </c>
      <c r="BU53" s="118" t="s">
        <v>190</v>
      </c>
      <c r="BV53" s="161">
        <v>61.5</v>
      </c>
    </row>
    <row r="54" spans="3:74" hidden="1" x14ac:dyDescent="0.25">
      <c r="C54">
        <v>5</v>
      </c>
      <c r="D54" s="10">
        <f t="shared" ca="1" si="74"/>
        <v>45301</v>
      </c>
      <c r="E54" s="14">
        <f t="shared" ca="1" si="73"/>
        <v>52.168299446453126</v>
      </c>
      <c r="F54" s="14">
        <f t="shared" si="73"/>
        <v>0</v>
      </c>
      <c r="G54" s="14">
        <f t="shared" si="73"/>
        <v>0</v>
      </c>
      <c r="H54" s="14">
        <f t="shared" si="73"/>
        <v>0</v>
      </c>
      <c r="I54" s="14">
        <f t="shared" si="73"/>
        <v>0</v>
      </c>
      <c r="J54" s="14">
        <f t="shared" si="73"/>
        <v>0</v>
      </c>
      <c r="K54" s="14">
        <f t="shared" si="73"/>
        <v>0</v>
      </c>
      <c r="L54" s="14">
        <f t="shared" si="73"/>
        <v>0</v>
      </c>
      <c r="M54" s="14">
        <f t="shared" si="73"/>
        <v>0</v>
      </c>
      <c r="N54" s="14">
        <f t="shared" si="73"/>
        <v>0</v>
      </c>
      <c r="O54" s="224"/>
      <c r="P54" s="284"/>
      <c r="Q54" s="161">
        <v>36</v>
      </c>
      <c r="R54" s="161">
        <f t="shared" si="47"/>
        <v>56.62</v>
      </c>
      <c r="S54" s="161">
        <f t="shared" si="48"/>
        <v>0</v>
      </c>
      <c r="T54" s="161">
        <f t="shared" si="49"/>
        <v>0</v>
      </c>
      <c r="U54" s="161">
        <f t="shared" si="50"/>
        <v>0</v>
      </c>
      <c r="V54" s="161">
        <f t="shared" si="51"/>
        <v>0</v>
      </c>
      <c r="W54" s="161">
        <f t="shared" si="52"/>
        <v>0</v>
      </c>
      <c r="X54" s="161">
        <f t="shared" si="53"/>
        <v>0</v>
      </c>
      <c r="Y54" s="161">
        <f t="shared" si="54"/>
        <v>0</v>
      </c>
      <c r="Z54" s="161">
        <f t="shared" si="55"/>
        <v>0</v>
      </c>
      <c r="AA54" s="161">
        <f t="shared" si="56"/>
        <v>0</v>
      </c>
      <c r="AB54" s="161"/>
      <c r="AC54" s="168">
        <v>36</v>
      </c>
      <c r="AD54" s="213">
        <f t="shared" ca="1" si="39"/>
        <v>46244</v>
      </c>
      <c r="AE54" s="260">
        <f t="shared" si="75"/>
        <v>56.62</v>
      </c>
      <c r="AF54" s="168"/>
      <c r="AG54" s="233">
        <v>36</v>
      </c>
      <c r="AH54" s="213">
        <f t="shared" ca="1" si="40"/>
        <v>46244</v>
      </c>
      <c r="AI54" s="260">
        <f t="shared" ca="1" si="35"/>
        <v>619.79</v>
      </c>
      <c r="AJ54" s="215">
        <f t="shared" ca="1" si="36"/>
        <v>314.63655229281255</v>
      </c>
      <c r="AK54" s="168">
        <v>36</v>
      </c>
      <c r="AL54" s="213">
        <f t="shared" ca="1" si="41"/>
        <v>46244</v>
      </c>
      <c r="AM54" s="260">
        <f t="shared" ca="1" si="37"/>
        <v>676.41</v>
      </c>
      <c r="AO54" s="161">
        <v>36</v>
      </c>
      <c r="AP54" s="117">
        <f t="shared" si="76"/>
        <v>56.62</v>
      </c>
      <c r="AQ54" s="117">
        <f t="shared" si="77"/>
        <v>0</v>
      </c>
      <c r="AR54" s="117">
        <f t="shared" si="78"/>
        <v>0</v>
      </c>
      <c r="AS54" s="161">
        <f t="shared" si="79"/>
        <v>0</v>
      </c>
      <c r="AT54" s="161">
        <f t="shared" si="80"/>
        <v>0</v>
      </c>
      <c r="AU54" s="161">
        <f t="shared" si="81"/>
        <v>0</v>
      </c>
      <c r="AV54" s="161">
        <f t="shared" si="82"/>
        <v>0</v>
      </c>
      <c r="AW54" s="161">
        <f t="shared" si="83"/>
        <v>0</v>
      </c>
      <c r="AX54" s="161">
        <f t="shared" si="84"/>
        <v>0</v>
      </c>
      <c r="AY54" s="161">
        <f t="shared" si="85"/>
        <v>0</v>
      </c>
      <c r="BD54" s="186" t="str">
        <f t="shared" si="42"/>
        <v>3GOV MA</v>
      </c>
      <c r="BE54" s="186">
        <f t="shared" si="43"/>
        <v>3</v>
      </c>
      <c r="BF54" s="209" t="str">
        <f>'Base tabelas'!A33</f>
        <v>GOV MA</v>
      </c>
      <c r="BG54" s="209" t="str">
        <f>'Base tabelas'!B33</f>
        <v>785043 - Tabela 3</v>
      </c>
      <c r="BH54" s="209">
        <f>'Base tabelas'!C33</f>
        <v>2.07E-2</v>
      </c>
      <c r="BI54" s="209">
        <f>'Base tabelas'!D33</f>
        <v>120</v>
      </c>
      <c r="BJ54" s="209" t="str">
        <f>'Base tabelas'!E33</f>
        <v/>
      </c>
      <c r="BK54" s="209">
        <f>'Base tabelas'!F33</f>
        <v>2.2999999999999998</v>
      </c>
      <c r="BL54" s="209">
        <f>'Base tabelas'!G33</f>
        <v>15</v>
      </c>
      <c r="BM54" s="209">
        <f>'Base tabelas'!H33</f>
        <v>53</v>
      </c>
      <c r="BN54" s="209" t="str">
        <f>'Base tabelas'!I33</f>
        <v>RFN - GOV. MARANHAO DIG 3 PORTABILIDADE</v>
      </c>
      <c r="BO54" s="209" t="str">
        <f>'Base tabelas'!J33</f>
        <v>1,7</v>
      </c>
      <c r="BP54" s="209">
        <f>'Base tabelas'!K33</f>
        <v>1.7000000000000001E-2</v>
      </c>
      <c r="BQ54" s="277">
        <f t="shared" si="57"/>
        <v>2.3688728419064935E-2</v>
      </c>
      <c r="BR54" s="278">
        <f t="shared" si="58"/>
        <v>2.3E-2</v>
      </c>
      <c r="BS54" s="279">
        <v>2.9999999999999997E-4</v>
      </c>
      <c r="BU54" s="118" t="s">
        <v>494</v>
      </c>
      <c r="BV54" s="161">
        <v>50</v>
      </c>
    </row>
    <row r="55" spans="3:74" hidden="1" x14ac:dyDescent="0.25">
      <c r="C55">
        <v>6</v>
      </c>
      <c r="D55" s="10">
        <f t="shared" ca="1" si="74"/>
        <v>45332</v>
      </c>
      <c r="E55" s="14">
        <f t="shared" ca="1" si="73"/>
        <v>51.174631015758969</v>
      </c>
      <c r="F55" s="14">
        <f t="shared" si="73"/>
        <v>0</v>
      </c>
      <c r="G55" s="14">
        <f t="shared" si="73"/>
        <v>0</v>
      </c>
      <c r="H55" s="14">
        <f t="shared" si="73"/>
        <v>0</v>
      </c>
      <c r="I55" s="14">
        <f t="shared" si="73"/>
        <v>0</v>
      </c>
      <c r="J55" s="14">
        <f t="shared" si="73"/>
        <v>0</v>
      </c>
      <c r="K55" s="14">
        <f t="shared" si="73"/>
        <v>0</v>
      </c>
      <c r="L55" s="14">
        <f t="shared" si="73"/>
        <v>0</v>
      </c>
      <c r="M55" s="14">
        <f t="shared" si="73"/>
        <v>0</v>
      </c>
      <c r="N55" s="14">
        <f t="shared" si="73"/>
        <v>0</v>
      </c>
      <c r="O55" s="224"/>
      <c r="P55" s="284"/>
      <c r="Q55" s="161">
        <v>37</v>
      </c>
      <c r="R55" s="161">
        <f t="shared" si="47"/>
        <v>56.62</v>
      </c>
      <c r="S55" s="161">
        <f t="shared" si="48"/>
        <v>0</v>
      </c>
      <c r="T55" s="161">
        <f t="shared" si="49"/>
        <v>0</v>
      </c>
      <c r="U55" s="161">
        <f t="shared" si="50"/>
        <v>0</v>
      </c>
      <c r="V55" s="161">
        <f t="shared" si="51"/>
        <v>0</v>
      </c>
      <c r="W55" s="161">
        <f t="shared" si="52"/>
        <v>0</v>
      </c>
      <c r="X55" s="161">
        <f t="shared" si="53"/>
        <v>0</v>
      </c>
      <c r="Y55" s="161">
        <f t="shared" si="54"/>
        <v>0</v>
      </c>
      <c r="Z55" s="161">
        <f t="shared" si="55"/>
        <v>0</v>
      </c>
      <c r="AA55" s="161">
        <f t="shared" si="56"/>
        <v>0</v>
      </c>
      <c r="AB55" s="161"/>
      <c r="AC55" s="168">
        <v>37</v>
      </c>
      <c r="AD55" s="213">
        <f t="shared" ca="1" si="39"/>
        <v>46275</v>
      </c>
      <c r="AE55" s="260">
        <f t="shared" si="75"/>
        <v>56.62</v>
      </c>
      <c r="AF55" s="168"/>
      <c r="AG55" s="233">
        <v>37</v>
      </c>
      <c r="AH55" s="213">
        <f t="shared" ca="1" si="40"/>
        <v>46275</v>
      </c>
      <c r="AI55" s="260">
        <f t="shared" ca="1" si="35"/>
        <v>619.79</v>
      </c>
      <c r="AJ55" s="215">
        <f t="shared" ca="1" si="36"/>
        <v>308.54497622681589</v>
      </c>
      <c r="AK55" s="168">
        <v>37</v>
      </c>
      <c r="AL55" s="213">
        <f t="shared" ca="1" si="41"/>
        <v>46275</v>
      </c>
      <c r="AM55" s="260">
        <f t="shared" ca="1" si="37"/>
        <v>676.41</v>
      </c>
      <c r="AO55" s="161">
        <v>37</v>
      </c>
      <c r="AP55" s="117">
        <f t="shared" si="76"/>
        <v>56.62</v>
      </c>
      <c r="AQ55" s="117">
        <f t="shared" si="77"/>
        <v>0</v>
      </c>
      <c r="AR55" s="117">
        <f t="shared" si="78"/>
        <v>0</v>
      </c>
      <c r="AS55" s="161">
        <f t="shared" si="79"/>
        <v>0</v>
      </c>
      <c r="AT55" s="161">
        <f t="shared" si="80"/>
        <v>0</v>
      </c>
      <c r="AU55" s="161">
        <f t="shared" si="81"/>
        <v>0</v>
      </c>
      <c r="AV55" s="161">
        <f t="shared" si="82"/>
        <v>0</v>
      </c>
      <c r="AW55" s="161">
        <f t="shared" si="83"/>
        <v>0</v>
      </c>
      <c r="AX55" s="161">
        <f t="shared" si="84"/>
        <v>0</v>
      </c>
      <c r="AY55" s="161">
        <f t="shared" si="85"/>
        <v>0</v>
      </c>
      <c r="BD55" s="186" t="str">
        <f t="shared" ref="BD55:BD86" si="86">CONCATENATE(BE55,BF55)</f>
        <v>4GOV MA</v>
      </c>
      <c r="BE55" s="186">
        <f t="shared" ref="BE55:BE86" si="87">IF(BF55=BF54,BE54+1,1)</f>
        <v>4</v>
      </c>
      <c r="BF55" s="209" t="str">
        <f>'Base tabelas'!A34</f>
        <v>GOV MA</v>
      </c>
      <c r="BG55" s="209" t="str">
        <f>'Base tabelas'!B34</f>
        <v>785044 - Tabela 4</v>
      </c>
      <c r="BH55" s="209">
        <f>'Base tabelas'!C34</f>
        <v>1.9699999999999999E-2</v>
      </c>
      <c r="BI55" s="209">
        <f>'Base tabelas'!D34</f>
        <v>120</v>
      </c>
      <c r="BJ55" s="209" t="str">
        <f>'Base tabelas'!E34</f>
        <v/>
      </c>
      <c r="BK55" s="209">
        <f>'Base tabelas'!F34</f>
        <v>2.2999999999999998</v>
      </c>
      <c r="BL55" s="209">
        <f>'Base tabelas'!G34</f>
        <v>15</v>
      </c>
      <c r="BM55" s="209">
        <f>'Base tabelas'!H34</f>
        <v>53</v>
      </c>
      <c r="BN55" s="209" t="str">
        <f>'Base tabelas'!I34</f>
        <v>RFN - GOV. MARANHAO DIG 4 PORTABILIDADE</v>
      </c>
      <c r="BO55" s="209" t="str">
        <f>'Base tabelas'!J34</f>
        <v>1,7</v>
      </c>
      <c r="BP55" s="209">
        <f>'Base tabelas'!K34</f>
        <v>1.7000000000000001E-2</v>
      </c>
      <c r="BQ55" s="277">
        <f t="shared" si="57"/>
        <v>2.2793585140624399E-2</v>
      </c>
      <c r="BR55" s="278">
        <f t="shared" si="58"/>
        <v>2.3E-2</v>
      </c>
      <c r="BS55" s="279">
        <v>2.9999999999999997E-4</v>
      </c>
      <c r="BU55" s="118" t="s">
        <v>370</v>
      </c>
      <c r="BV55" s="161">
        <v>46</v>
      </c>
    </row>
    <row r="56" spans="3:74" hidden="1" x14ac:dyDescent="0.25">
      <c r="C56">
        <v>7</v>
      </c>
      <c r="D56" s="10">
        <f t="shared" ca="1" si="74"/>
        <v>45361</v>
      </c>
      <c r="E56" s="14">
        <f t="shared" ca="1" si="73"/>
        <v>50.262211809217433</v>
      </c>
      <c r="F56" s="14">
        <f t="shared" si="73"/>
        <v>0</v>
      </c>
      <c r="G56" s="14">
        <f t="shared" si="73"/>
        <v>0</v>
      </c>
      <c r="H56" s="14">
        <f t="shared" si="73"/>
        <v>0</v>
      </c>
      <c r="I56" s="14">
        <f t="shared" si="73"/>
        <v>0</v>
      </c>
      <c r="J56" s="14">
        <f t="shared" si="73"/>
        <v>0</v>
      </c>
      <c r="K56" s="14">
        <f t="shared" si="73"/>
        <v>0</v>
      </c>
      <c r="L56" s="14">
        <f t="shared" si="73"/>
        <v>0</v>
      </c>
      <c r="M56" s="14">
        <f t="shared" si="73"/>
        <v>0</v>
      </c>
      <c r="N56" s="14">
        <f t="shared" si="73"/>
        <v>0</v>
      </c>
      <c r="O56" s="224"/>
      <c r="P56" s="284"/>
      <c r="Q56" s="161">
        <v>38</v>
      </c>
      <c r="R56" s="161">
        <f t="shared" si="47"/>
        <v>56.62</v>
      </c>
      <c r="S56" s="161">
        <f t="shared" si="48"/>
        <v>0</v>
      </c>
      <c r="T56" s="161">
        <f t="shared" si="49"/>
        <v>0</v>
      </c>
      <c r="U56" s="161">
        <f t="shared" si="50"/>
        <v>0</v>
      </c>
      <c r="V56" s="161">
        <f t="shared" si="51"/>
        <v>0</v>
      </c>
      <c r="W56" s="161">
        <f t="shared" si="52"/>
        <v>0</v>
      </c>
      <c r="X56" s="161">
        <f t="shared" si="53"/>
        <v>0</v>
      </c>
      <c r="Y56" s="161">
        <f t="shared" si="54"/>
        <v>0</v>
      </c>
      <c r="Z56" s="161">
        <f t="shared" si="55"/>
        <v>0</v>
      </c>
      <c r="AA56" s="161">
        <f t="shared" si="56"/>
        <v>0</v>
      </c>
      <c r="AB56" s="161"/>
      <c r="AC56" s="168">
        <v>38</v>
      </c>
      <c r="AD56" s="213">
        <f t="shared" ca="1" si="39"/>
        <v>46305</v>
      </c>
      <c r="AE56" s="260">
        <f t="shared" si="75"/>
        <v>56.62</v>
      </c>
      <c r="AF56" s="168"/>
      <c r="AG56" s="233">
        <v>38</v>
      </c>
      <c r="AH56" s="213">
        <f t="shared" ca="1" si="40"/>
        <v>46305</v>
      </c>
      <c r="AI56" s="260">
        <f t="shared" ca="1" si="35"/>
        <v>619.79</v>
      </c>
      <c r="AJ56" s="215">
        <f t="shared" ca="1" si="36"/>
        <v>302.76221786558324</v>
      </c>
      <c r="AK56" s="168">
        <v>38</v>
      </c>
      <c r="AL56" s="213">
        <f t="shared" ca="1" si="41"/>
        <v>46305</v>
      </c>
      <c r="AM56" s="260">
        <f t="shared" ca="1" si="37"/>
        <v>676.41</v>
      </c>
      <c r="AO56" s="161">
        <v>38</v>
      </c>
      <c r="AP56" s="117">
        <f t="shared" si="76"/>
        <v>56.62</v>
      </c>
      <c r="AQ56" s="117">
        <f t="shared" si="77"/>
        <v>0</v>
      </c>
      <c r="AR56" s="117">
        <f t="shared" si="78"/>
        <v>0</v>
      </c>
      <c r="AS56" s="161">
        <f t="shared" si="79"/>
        <v>0</v>
      </c>
      <c r="AT56" s="161">
        <f t="shared" si="80"/>
        <v>0</v>
      </c>
      <c r="AU56" s="161">
        <f t="shared" si="81"/>
        <v>0</v>
      </c>
      <c r="AV56" s="161">
        <f t="shared" si="82"/>
        <v>0</v>
      </c>
      <c r="AW56" s="161">
        <f t="shared" si="83"/>
        <v>0</v>
      </c>
      <c r="AX56" s="161">
        <f t="shared" si="84"/>
        <v>0</v>
      </c>
      <c r="AY56" s="161">
        <f t="shared" si="85"/>
        <v>0</v>
      </c>
      <c r="BD56" s="186" t="str">
        <f t="shared" si="86"/>
        <v>1GOV MT</v>
      </c>
      <c r="BE56" s="186">
        <f t="shared" si="87"/>
        <v>1</v>
      </c>
      <c r="BF56" s="209" t="str">
        <f>'Base tabelas'!A35</f>
        <v>GOV MT</v>
      </c>
      <c r="BG56" s="209" t="str">
        <f>'Base tabelas'!B35</f>
        <v>745111 - Tabela 1</v>
      </c>
      <c r="BH56" s="209">
        <f>'Base tabelas'!C35</f>
        <v>2.2000000000000002E-2</v>
      </c>
      <c r="BI56" s="209">
        <f>'Base tabelas'!D35</f>
        <v>108</v>
      </c>
      <c r="BJ56" s="209" t="str">
        <f>'Base tabelas'!E35</f>
        <v/>
      </c>
      <c r="BK56" s="209">
        <f>'Base tabelas'!F35</f>
        <v>2.2200000000000002</v>
      </c>
      <c r="BL56" s="209">
        <f>'Base tabelas'!G35</f>
        <v>30</v>
      </c>
      <c r="BM56" s="209">
        <f>'Base tabelas'!H35</f>
        <v>63</v>
      </c>
      <c r="BN56" s="209" t="str">
        <f>'Base tabelas'!I35</f>
        <v>RFN - GOV MT DIG 1 PORTAB</v>
      </c>
      <c r="BO56" s="209" t="str">
        <f>'Base tabelas'!J35</f>
        <v>1,5</v>
      </c>
      <c r="BP56" s="209">
        <f>'Base tabelas'!K35</f>
        <v>1.4999999999999999E-2</v>
      </c>
      <c r="BQ56" s="277">
        <f t="shared" si="57"/>
        <v>2.5659319746310579E-2</v>
      </c>
      <c r="BR56" s="278">
        <f t="shared" si="58"/>
        <v>2.2200000000000001E-2</v>
      </c>
      <c r="BS56" s="279">
        <v>2.9999999999999997E-4</v>
      </c>
      <c r="BU56" s="118" t="s">
        <v>193</v>
      </c>
      <c r="BV56" s="161">
        <v>69</v>
      </c>
    </row>
    <row r="57" spans="3:74" hidden="1" x14ac:dyDescent="0.25">
      <c r="C57">
        <v>8</v>
      </c>
      <c r="D57" s="10">
        <f t="shared" ca="1" si="74"/>
        <v>45392</v>
      </c>
      <c r="E57" s="14">
        <f t="shared" ca="1" si="73"/>
        <v>49.304849317788211</v>
      </c>
      <c r="F57" s="14">
        <f t="shared" si="73"/>
        <v>0</v>
      </c>
      <c r="G57" s="14">
        <f t="shared" si="73"/>
        <v>0</v>
      </c>
      <c r="H57" s="14">
        <f t="shared" si="73"/>
        <v>0</v>
      </c>
      <c r="I57" s="14">
        <f t="shared" si="73"/>
        <v>0</v>
      </c>
      <c r="J57" s="14">
        <f t="shared" si="73"/>
        <v>0</v>
      </c>
      <c r="K57" s="14">
        <f t="shared" si="73"/>
        <v>0</v>
      </c>
      <c r="L57" s="14">
        <f t="shared" si="73"/>
        <v>0</v>
      </c>
      <c r="M57" s="14">
        <f t="shared" si="73"/>
        <v>0</v>
      </c>
      <c r="N57" s="14">
        <f t="shared" si="73"/>
        <v>0</v>
      </c>
      <c r="O57" s="224"/>
      <c r="P57" s="284"/>
      <c r="Q57" s="161">
        <v>39</v>
      </c>
      <c r="R57" s="161">
        <f t="shared" si="47"/>
        <v>56.62</v>
      </c>
      <c r="S57" s="161">
        <f t="shared" si="48"/>
        <v>0</v>
      </c>
      <c r="T57" s="161">
        <f t="shared" si="49"/>
        <v>0</v>
      </c>
      <c r="U57" s="161">
        <f t="shared" si="50"/>
        <v>0</v>
      </c>
      <c r="V57" s="161">
        <f t="shared" si="51"/>
        <v>0</v>
      </c>
      <c r="W57" s="161">
        <f t="shared" si="52"/>
        <v>0</v>
      </c>
      <c r="X57" s="161">
        <f t="shared" si="53"/>
        <v>0</v>
      </c>
      <c r="Y57" s="161">
        <f t="shared" si="54"/>
        <v>0</v>
      </c>
      <c r="Z57" s="161">
        <f t="shared" si="55"/>
        <v>0</v>
      </c>
      <c r="AA57" s="161">
        <f t="shared" si="56"/>
        <v>0</v>
      </c>
      <c r="AB57" s="161"/>
      <c r="AC57" s="168">
        <v>39</v>
      </c>
      <c r="AD57" s="213">
        <f t="shared" ca="1" si="39"/>
        <v>46336</v>
      </c>
      <c r="AE57" s="260">
        <f t="shared" si="75"/>
        <v>56.62</v>
      </c>
      <c r="AF57" s="168"/>
      <c r="AG57" s="233">
        <v>39</v>
      </c>
      <c r="AH57" s="213">
        <f t="shared" ca="1" si="40"/>
        <v>46336</v>
      </c>
      <c r="AI57" s="260">
        <f t="shared" ca="1" si="35"/>
        <v>619.79</v>
      </c>
      <c r="AJ57" s="215">
        <f t="shared" ca="1" si="36"/>
        <v>296.90053693055415</v>
      </c>
      <c r="AK57" s="168">
        <v>39</v>
      </c>
      <c r="AL57" s="213">
        <f t="shared" ca="1" si="41"/>
        <v>46336</v>
      </c>
      <c r="AM57" s="260">
        <f t="shared" ca="1" si="37"/>
        <v>676.41</v>
      </c>
      <c r="AO57" s="161">
        <v>39</v>
      </c>
      <c r="AP57" s="117">
        <f t="shared" si="76"/>
        <v>56.62</v>
      </c>
      <c r="AQ57" s="117">
        <f t="shared" si="77"/>
        <v>0</v>
      </c>
      <c r="AR57" s="117">
        <f t="shared" si="78"/>
        <v>0</v>
      </c>
      <c r="AS57" s="161">
        <f t="shared" si="79"/>
        <v>0</v>
      </c>
      <c r="AT57" s="161">
        <f t="shared" si="80"/>
        <v>0</v>
      </c>
      <c r="AU57" s="161">
        <f t="shared" si="81"/>
        <v>0</v>
      </c>
      <c r="AV57" s="161">
        <f t="shared" si="82"/>
        <v>0</v>
      </c>
      <c r="AW57" s="161">
        <f t="shared" si="83"/>
        <v>0</v>
      </c>
      <c r="AX57" s="161">
        <f t="shared" si="84"/>
        <v>0</v>
      </c>
      <c r="AY57" s="161">
        <f t="shared" si="85"/>
        <v>0</v>
      </c>
      <c r="BD57" s="186" t="str">
        <f t="shared" si="86"/>
        <v>2GOV MT</v>
      </c>
      <c r="BE57" s="186">
        <f t="shared" si="87"/>
        <v>2</v>
      </c>
      <c r="BF57" s="209" t="str">
        <f>'Base tabelas'!A36</f>
        <v>GOV MT</v>
      </c>
      <c r="BG57" s="209" t="str">
        <f>'Base tabelas'!B36</f>
        <v>745112 - Tabela 2</v>
      </c>
      <c r="BH57" s="209">
        <f>'Base tabelas'!C36</f>
        <v>2.1000000000000001E-2</v>
      </c>
      <c r="BI57" s="209">
        <f>'Base tabelas'!D36</f>
        <v>120</v>
      </c>
      <c r="BJ57" s="209" t="str">
        <f>'Base tabelas'!E36</f>
        <v/>
      </c>
      <c r="BK57" s="209">
        <f>'Base tabelas'!F36</f>
        <v>2.2200000000000002</v>
      </c>
      <c r="BL57" s="209">
        <f>'Base tabelas'!G36</f>
        <v>30</v>
      </c>
      <c r="BM57" s="209">
        <f>'Base tabelas'!H36</f>
        <v>63</v>
      </c>
      <c r="BN57" s="209" t="str">
        <f>'Base tabelas'!I36</f>
        <v>RFN - GOV MT DIG 2 PORTAB</v>
      </c>
      <c r="BO57" s="209" t="str">
        <f>'Base tabelas'!J36</f>
        <v>1,5</v>
      </c>
      <c r="BP57" s="209">
        <f>'Base tabelas'!K36</f>
        <v>1.4999999999999999E-2</v>
      </c>
      <c r="BQ57" s="277">
        <f t="shared" si="57"/>
        <v>2.4126346058624463E-2</v>
      </c>
      <c r="BR57" s="278">
        <f t="shared" si="58"/>
        <v>2.2200000000000001E-2</v>
      </c>
      <c r="BS57" s="279">
        <v>2.9999999999999997E-4</v>
      </c>
      <c r="BU57" s="118" t="s">
        <v>195</v>
      </c>
      <c r="BV57" s="161">
        <v>43</v>
      </c>
    </row>
    <row r="58" spans="3:74" hidden="1" x14ac:dyDescent="0.25">
      <c r="C58">
        <v>9</v>
      </c>
      <c r="D58" s="10">
        <f t="shared" ca="1" si="74"/>
        <v>45422</v>
      </c>
      <c r="E58" s="14">
        <f t="shared" ca="1" si="73"/>
        <v>48.395735427777403</v>
      </c>
      <c r="F58" s="14">
        <f t="shared" si="73"/>
        <v>0</v>
      </c>
      <c r="G58" s="14">
        <f t="shared" si="73"/>
        <v>0</v>
      </c>
      <c r="H58" s="14">
        <f t="shared" si="73"/>
        <v>0</v>
      </c>
      <c r="I58" s="14">
        <f t="shared" si="73"/>
        <v>0</v>
      </c>
      <c r="J58" s="14">
        <f t="shared" si="73"/>
        <v>0</v>
      </c>
      <c r="K58" s="14">
        <f t="shared" si="73"/>
        <v>0</v>
      </c>
      <c r="L58" s="14">
        <f t="shared" si="73"/>
        <v>0</v>
      </c>
      <c r="M58" s="14">
        <f t="shared" si="73"/>
        <v>0</v>
      </c>
      <c r="N58" s="14">
        <f t="shared" si="73"/>
        <v>0</v>
      </c>
      <c r="O58" s="224"/>
      <c r="P58" s="284"/>
      <c r="Q58" s="161">
        <v>40</v>
      </c>
      <c r="R58" s="161">
        <f t="shared" si="47"/>
        <v>56.62</v>
      </c>
      <c r="S58" s="161">
        <f t="shared" si="48"/>
        <v>0</v>
      </c>
      <c r="T58" s="161">
        <f t="shared" si="49"/>
        <v>0</v>
      </c>
      <c r="U58" s="161">
        <f t="shared" si="50"/>
        <v>0</v>
      </c>
      <c r="V58" s="161">
        <f t="shared" si="51"/>
        <v>0</v>
      </c>
      <c r="W58" s="161">
        <f t="shared" si="52"/>
        <v>0</v>
      </c>
      <c r="X58" s="161">
        <f t="shared" si="53"/>
        <v>0</v>
      </c>
      <c r="Y58" s="161">
        <f t="shared" si="54"/>
        <v>0</v>
      </c>
      <c r="Z58" s="161">
        <f t="shared" si="55"/>
        <v>0</v>
      </c>
      <c r="AA58" s="161">
        <f t="shared" si="56"/>
        <v>0</v>
      </c>
      <c r="AB58" s="161"/>
      <c r="AC58" s="168">
        <v>40</v>
      </c>
      <c r="AD58" s="213">
        <f t="shared" ca="1" si="39"/>
        <v>46366</v>
      </c>
      <c r="AE58" s="260">
        <f t="shared" si="75"/>
        <v>56.62</v>
      </c>
      <c r="AF58" s="168"/>
      <c r="AG58" s="233">
        <v>40</v>
      </c>
      <c r="AH58" s="213">
        <f t="shared" ca="1" si="40"/>
        <v>46366</v>
      </c>
      <c r="AI58" s="260">
        <f t="shared" ca="1" si="35"/>
        <v>619.79</v>
      </c>
      <c r="AJ58" s="215">
        <f t="shared" ca="1" si="36"/>
        <v>291.33601896826036</v>
      </c>
      <c r="AK58" s="168">
        <v>40</v>
      </c>
      <c r="AL58" s="213">
        <f t="shared" ca="1" si="41"/>
        <v>46366</v>
      </c>
      <c r="AM58" s="260">
        <f t="shared" ca="1" si="37"/>
        <v>676.41</v>
      </c>
      <c r="AO58" s="161">
        <v>40</v>
      </c>
      <c r="AP58" s="117">
        <f t="shared" si="76"/>
        <v>56.62</v>
      </c>
      <c r="AQ58" s="117">
        <f t="shared" si="77"/>
        <v>0</v>
      </c>
      <c r="AR58" s="117">
        <f t="shared" si="78"/>
        <v>0</v>
      </c>
      <c r="AS58" s="161">
        <f t="shared" si="79"/>
        <v>0</v>
      </c>
      <c r="AT58" s="161">
        <f t="shared" si="80"/>
        <v>0</v>
      </c>
      <c r="AU58" s="161">
        <f t="shared" si="81"/>
        <v>0</v>
      </c>
      <c r="AV58" s="161">
        <f t="shared" si="82"/>
        <v>0</v>
      </c>
      <c r="AW58" s="161">
        <f t="shared" si="83"/>
        <v>0</v>
      </c>
      <c r="AX58" s="161">
        <f t="shared" si="84"/>
        <v>0</v>
      </c>
      <c r="AY58" s="161">
        <f t="shared" si="85"/>
        <v>0</v>
      </c>
      <c r="BD58" s="186" t="str">
        <f t="shared" si="86"/>
        <v>1GOV PARANA</v>
      </c>
      <c r="BE58" s="186">
        <f t="shared" si="87"/>
        <v>1</v>
      </c>
      <c r="BF58" s="209" t="str">
        <f>'Base tabelas'!A37</f>
        <v>GOV PARANA</v>
      </c>
      <c r="BG58" s="209" t="str">
        <f>'Base tabelas'!B37</f>
        <v>795039 - Tabela 1</v>
      </c>
      <c r="BH58" s="209">
        <f>'Base tabelas'!C37</f>
        <v>1.9E-2</v>
      </c>
      <c r="BI58" s="209">
        <f>'Base tabelas'!D37</f>
        <v>96</v>
      </c>
      <c r="BJ58" s="209" t="str">
        <f>'Base tabelas'!E37</f>
        <v/>
      </c>
      <c r="BK58" s="209">
        <f>'Base tabelas'!F37</f>
        <v>1.99</v>
      </c>
      <c r="BL58" s="209">
        <f>'Base tabelas'!G37</f>
        <v>10</v>
      </c>
      <c r="BM58" s="209">
        <f>'Base tabelas'!H37</f>
        <v>50</v>
      </c>
      <c r="BN58" s="209" t="str">
        <f>'Base tabelas'!I37</f>
        <v>RFN - GOV PR DIG PORTAB 1</v>
      </c>
      <c r="BO58" s="209" t="str">
        <f>'Base tabelas'!J37</f>
        <v>1,36</v>
      </c>
      <c r="BP58" s="209">
        <f>'Base tabelas'!K37</f>
        <v>1.3600000000000001E-2</v>
      </c>
      <c r="BQ58" s="277">
        <f t="shared" si="57"/>
        <v>2.3713243635123765E-2</v>
      </c>
      <c r="BR58" s="278">
        <f t="shared" si="58"/>
        <v>1.9900000000000001E-2</v>
      </c>
      <c r="BS58" s="279">
        <v>2.9999999999999997E-4</v>
      </c>
      <c r="BU58" s="118" t="s">
        <v>197</v>
      </c>
      <c r="BV58" s="161">
        <v>42.666666666666664</v>
      </c>
    </row>
    <row r="59" spans="3:74" hidden="1" x14ac:dyDescent="0.25">
      <c r="C59">
        <v>10</v>
      </c>
      <c r="D59" s="10">
        <f t="shared" ca="1" si="74"/>
        <v>45453</v>
      </c>
      <c r="E59" s="14">
        <f t="shared" ca="1" si="73"/>
        <v>47.473924385725539</v>
      </c>
      <c r="F59" s="14">
        <f t="shared" si="73"/>
        <v>0</v>
      </c>
      <c r="G59" s="14">
        <f t="shared" si="73"/>
        <v>0</v>
      </c>
      <c r="H59" s="14">
        <f t="shared" si="73"/>
        <v>0</v>
      </c>
      <c r="I59" s="14">
        <f t="shared" si="73"/>
        <v>0</v>
      </c>
      <c r="J59" s="14">
        <f t="shared" si="73"/>
        <v>0</v>
      </c>
      <c r="K59" s="14">
        <f t="shared" si="73"/>
        <v>0</v>
      </c>
      <c r="L59" s="14">
        <f t="shared" si="73"/>
        <v>0</v>
      </c>
      <c r="M59" s="14">
        <f t="shared" si="73"/>
        <v>0</v>
      </c>
      <c r="N59" s="14">
        <f t="shared" si="73"/>
        <v>0</v>
      </c>
      <c r="O59" s="224"/>
      <c r="P59" s="284"/>
      <c r="Q59" s="161">
        <v>41</v>
      </c>
      <c r="R59" s="161">
        <f t="shared" si="47"/>
        <v>56.62</v>
      </c>
      <c r="S59" s="161">
        <f t="shared" si="48"/>
        <v>0</v>
      </c>
      <c r="T59" s="161">
        <f t="shared" si="49"/>
        <v>0</v>
      </c>
      <c r="U59" s="161">
        <f t="shared" si="50"/>
        <v>0</v>
      </c>
      <c r="V59" s="161">
        <f t="shared" si="51"/>
        <v>0</v>
      </c>
      <c r="W59" s="161">
        <f t="shared" si="52"/>
        <v>0</v>
      </c>
      <c r="X59" s="161">
        <f t="shared" si="53"/>
        <v>0</v>
      </c>
      <c r="Y59" s="161">
        <f t="shared" si="54"/>
        <v>0</v>
      </c>
      <c r="Z59" s="161">
        <f t="shared" si="55"/>
        <v>0</v>
      </c>
      <c r="AA59" s="161">
        <f t="shared" si="56"/>
        <v>0</v>
      </c>
      <c r="AB59" s="161"/>
      <c r="AC59" s="168">
        <v>41</v>
      </c>
      <c r="AD59" s="213">
        <f t="shared" ca="1" si="39"/>
        <v>46397</v>
      </c>
      <c r="AE59" s="260">
        <f t="shared" si="75"/>
        <v>56.62</v>
      </c>
      <c r="AF59" s="168"/>
      <c r="AG59" s="233">
        <v>41</v>
      </c>
      <c r="AH59" s="213">
        <f t="shared" ca="1" si="40"/>
        <v>46397</v>
      </c>
      <c r="AI59" s="260">
        <f t="shared" ca="1" si="35"/>
        <v>619.79</v>
      </c>
      <c r="AJ59" s="215">
        <f t="shared" ca="1" si="36"/>
        <v>285.69555695780008</v>
      </c>
      <c r="AK59" s="168">
        <v>41</v>
      </c>
      <c r="AL59" s="213">
        <f t="shared" ca="1" si="41"/>
        <v>46397</v>
      </c>
      <c r="AM59" s="260">
        <f t="shared" ca="1" si="37"/>
        <v>676.41</v>
      </c>
      <c r="AO59" s="161">
        <v>41</v>
      </c>
      <c r="AP59" s="117">
        <f t="shared" si="76"/>
        <v>56.62</v>
      </c>
      <c r="AQ59" s="117">
        <f t="shared" si="77"/>
        <v>0</v>
      </c>
      <c r="AR59" s="117">
        <f t="shared" si="78"/>
        <v>0</v>
      </c>
      <c r="AS59" s="161">
        <f t="shared" si="79"/>
        <v>0</v>
      </c>
      <c r="AT59" s="161">
        <f t="shared" si="80"/>
        <v>0</v>
      </c>
      <c r="AU59" s="161">
        <f t="shared" si="81"/>
        <v>0</v>
      </c>
      <c r="AV59" s="161">
        <f t="shared" si="82"/>
        <v>0</v>
      </c>
      <c r="AW59" s="161">
        <f t="shared" si="83"/>
        <v>0</v>
      </c>
      <c r="AX59" s="161">
        <f t="shared" si="84"/>
        <v>0</v>
      </c>
      <c r="AY59" s="161">
        <f t="shared" si="85"/>
        <v>0</v>
      </c>
      <c r="BD59" s="186" t="str">
        <f t="shared" si="86"/>
        <v>2GOV PARANA</v>
      </c>
      <c r="BE59" s="186">
        <f t="shared" si="87"/>
        <v>2</v>
      </c>
      <c r="BF59" s="209" t="str">
        <f>'Base tabelas'!A38</f>
        <v>GOV PARANA</v>
      </c>
      <c r="BG59" s="209" t="str">
        <f>'Base tabelas'!B38</f>
        <v>795008 - Tabela 2</v>
      </c>
      <c r="BH59" s="209">
        <f>'Base tabelas'!C38</f>
        <v>1.8500000000000003E-2</v>
      </c>
      <c r="BI59" s="209">
        <f>'Base tabelas'!D38</f>
        <v>96</v>
      </c>
      <c r="BJ59" s="209" t="str">
        <f>'Base tabelas'!E38</f>
        <v/>
      </c>
      <c r="BK59" s="209">
        <f>'Base tabelas'!F38</f>
        <v>1.99</v>
      </c>
      <c r="BL59" s="209">
        <f>'Base tabelas'!G38</f>
        <v>10</v>
      </c>
      <c r="BM59" s="209">
        <f>'Base tabelas'!H38</f>
        <v>45</v>
      </c>
      <c r="BN59" s="209" t="str">
        <f>'Base tabelas'!I38</f>
        <v>RFN - GOV PR DIG PORTAB 2</v>
      </c>
      <c r="BO59" s="209" t="str">
        <f>'Base tabelas'!J38</f>
        <v>1,36</v>
      </c>
      <c r="BP59" s="209">
        <f>'Base tabelas'!K38</f>
        <v>1.3600000000000001E-2</v>
      </c>
      <c r="BQ59" s="277">
        <f t="shared" si="57"/>
        <v>2.3231375881545779E-2</v>
      </c>
      <c r="BR59" s="278">
        <f t="shared" si="58"/>
        <v>1.9900000000000001E-2</v>
      </c>
      <c r="BS59" s="279">
        <v>2.9999999999999997E-4</v>
      </c>
      <c r="BU59" s="118" t="s">
        <v>202</v>
      </c>
      <c r="BV59" s="161">
        <v>64</v>
      </c>
    </row>
    <row r="60" spans="3:74" hidden="1" x14ac:dyDescent="0.25">
      <c r="C60">
        <v>11</v>
      </c>
      <c r="D60" s="10">
        <f t="shared" ca="1" si="74"/>
        <v>45483</v>
      </c>
      <c r="E60" s="14">
        <f t="shared" ref="E60:N69" ca="1" si="88">IF($C60&lt;=E$17,E$18/(($D$48+1)^(($D60-$D$49)/30)),0)</f>
        <v>46.598570243697665</v>
      </c>
      <c r="F60" s="14">
        <f t="shared" si="88"/>
        <v>0</v>
      </c>
      <c r="G60" s="14">
        <f t="shared" si="88"/>
        <v>0</v>
      </c>
      <c r="H60" s="14">
        <f t="shared" si="88"/>
        <v>0</v>
      </c>
      <c r="I60" s="14">
        <f t="shared" si="88"/>
        <v>0</v>
      </c>
      <c r="J60" s="14">
        <f t="shared" si="88"/>
        <v>0</v>
      </c>
      <c r="K60" s="14">
        <f t="shared" si="88"/>
        <v>0</v>
      </c>
      <c r="L60" s="14">
        <f t="shared" si="88"/>
        <v>0</v>
      </c>
      <c r="M60" s="14">
        <f t="shared" si="88"/>
        <v>0</v>
      </c>
      <c r="N60" s="14">
        <f t="shared" si="88"/>
        <v>0</v>
      </c>
      <c r="O60" s="224"/>
      <c r="P60" s="284"/>
      <c r="Q60" s="161">
        <v>42</v>
      </c>
      <c r="R60" s="161">
        <f t="shared" si="47"/>
        <v>56.62</v>
      </c>
      <c r="S60" s="161">
        <f t="shared" si="48"/>
        <v>0</v>
      </c>
      <c r="T60" s="161">
        <f t="shared" si="49"/>
        <v>0</v>
      </c>
      <c r="U60" s="161">
        <f t="shared" si="50"/>
        <v>0</v>
      </c>
      <c r="V60" s="161">
        <f t="shared" si="51"/>
        <v>0</v>
      </c>
      <c r="W60" s="161">
        <f t="shared" si="52"/>
        <v>0</v>
      </c>
      <c r="X60" s="161">
        <f t="shared" si="53"/>
        <v>0</v>
      </c>
      <c r="Y60" s="161">
        <f t="shared" si="54"/>
        <v>0</v>
      </c>
      <c r="Z60" s="161">
        <f t="shared" si="55"/>
        <v>0</v>
      </c>
      <c r="AA60" s="161">
        <f t="shared" si="56"/>
        <v>0</v>
      </c>
      <c r="AB60" s="161"/>
      <c r="AC60" s="168">
        <v>42</v>
      </c>
      <c r="AD60" s="213">
        <f t="shared" ca="1" si="39"/>
        <v>46428</v>
      </c>
      <c r="AE60" s="260">
        <f t="shared" si="75"/>
        <v>56.62</v>
      </c>
      <c r="AF60" s="168"/>
      <c r="AG60" s="233">
        <v>42</v>
      </c>
      <c r="AH60" s="213">
        <f t="shared" ca="1" si="40"/>
        <v>46428</v>
      </c>
      <c r="AI60" s="260">
        <f t="shared" ca="1" si="35"/>
        <v>619.79</v>
      </c>
      <c r="AJ60" s="215">
        <f t="shared" ca="1" si="36"/>
        <v>280.16429809978246</v>
      </c>
      <c r="AK60" s="168">
        <v>42</v>
      </c>
      <c r="AL60" s="213">
        <f t="shared" ca="1" si="41"/>
        <v>46428</v>
      </c>
      <c r="AM60" s="260">
        <f t="shared" ca="1" si="37"/>
        <v>676.41</v>
      </c>
      <c r="AO60" s="161">
        <v>42</v>
      </c>
      <c r="AP60" s="117">
        <f t="shared" si="76"/>
        <v>56.62</v>
      </c>
      <c r="AQ60" s="117">
        <f t="shared" si="77"/>
        <v>0</v>
      </c>
      <c r="AR60" s="117">
        <f t="shared" si="78"/>
        <v>0</v>
      </c>
      <c r="AS60" s="161">
        <f t="shared" si="79"/>
        <v>0</v>
      </c>
      <c r="AT60" s="161">
        <f t="shared" si="80"/>
        <v>0</v>
      </c>
      <c r="AU60" s="161">
        <f t="shared" si="81"/>
        <v>0</v>
      </c>
      <c r="AV60" s="161">
        <f t="shared" si="82"/>
        <v>0</v>
      </c>
      <c r="AW60" s="161">
        <f t="shared" si="83"/>
        <v>0</v>
      </c>
      <c r="AX60" s="161">
        <f t="shared" si="84"/>
        <v>0</v>
      </c>
      <c r="AY60" s="161">
        <f t="shared" si="85"/>
        <v>0</v>
      </c>
      <c r="BD60" s="186" t="str">
        <f t="shared" si="86"/>
        <v>3GOV PARANA</v>
      </c>
      <c r="BE60" s="186">
        <f t="shared" si="87"/>
        <v>3</v>
      </c>
      <c r="BF60" s="209" t="str">
        <f>'Base tabelas'!A39</f>
        <v>GOV PARANA</v>
      </c>
      <c r="BG60" s="209" t="str">
        <f>'Base tabelas'!B39</f>
        <v>795009 - Tabela 3</v>
      </c>
      <c r="BH60" s="209">
        <f>'Base tabelas'!C39</f>
        <v>1.8000000000000002E-2</v>
      </c>
      <c r="BI60" s="209">
        <f>'Base tabelas'!D39</f>
        <v>96</v>
      </c>
      <c r="BJ60" s="209" t="str">
        <f>'Base tabelas'!E39</f>
        <v/>
      </c>
      <c r="BK60" s="209">
        <f>'Base tabelas'!F39</f>
        <v>1.99</v>
      </c>
      <c r="BL60" s="209">
        <f>'Base tabelas'!G39</f>
        <v>10</v>
      </c>
      <c r="BM60" s="209">
        <f>'Base tabelas'!H39</f>
        <v>51</v>
      </c>
      <c r="BN60" s="209" t="str">
        <f>'Base tabelas'!I39</f>
        <v>RFN - GOV PR DIG PORTAB 3</v>
      </c>
      <c r="BO60" s="209" t="str">
        <f>'Base tabelas'!J39</f>
        <v>1,36</v>
      </c>
      <c r="BP60" s="209">
        <f>'Base tabelas'!K39</f>
        <v>1.3600000000000001E-2</v>
      </c>
      <c r="BQ60" s="277">
        <f t="shared" si="57"/>
        <v>2.2908559816700771E-2</v>
      </c>
      <c r="BR60" s="278">
        <f t="shared" si="58"/>
        <v>1.9900000000000001E-2</v>
      </c>
      <c r="BS60" s="279">
        <v>2.9999999999999997E-4</v>
      </c>
      <c r="BU60" s="118" t="s">
        <v>204</v>
      </c>
      <c r="BV60" s="161">
        <v>50</v>
      </c>
    </row>
    <row r="61" spans="3:74" hidden="1" x14ac:dyDescent="0.25">
      <c r="C61">
        <v>12</v>
      </c>
      <c r="D61" s="10">
        <f t="shared" ca="1" si="74"/>
        <v>45514</v>
      </c>
      <c r="E61" s="14">
        <f t="shared" ca="1" si="88"/>
        <v>45.710990455627844</v>
      </c>
      <c r="F61" s="14">
        <f t="shared" si="88"/>
        <v>0</v>
      </c>
      <c r="G61" s="14">
        <f t="shared" si="88"/>
        <v>0</v>
      </c>
      <c r="H61" s="14">
        <f t="shared" si="88"/>
        <v>0</v>
      </c>
      <c r="I61" s="14">
        <f t="shared" si="88"/>
        <v>0</v>
      </c>
      <c r="J61" s="14">
        <f t="shared" si="88"/>
        <v>0</v>
      </c>
      <c r="K61" s="14">
        <f t="shared" si="88"/>
        <v>0</v>
      </c>
      <c r="L61" s="14">
        <f t="shared" si="88"/>
        <v>0</v>
      </c>
      <c r="M61" s="14">
        <f t="shared" si="88"/>
        <v>0</v>
      </c>
      <c r="N61" s="14">
        <f t="shared" si="88"/>
        <v>0</v>
      </c>
      <c r="O61" s="224"/>
      <c r="P61" s="284"/>
      <c r="Q61" s="161">
        <v>43</v>
      </c>
      <c r="R61" s="161">
        <f t="shared" si="47"/>
        <v>56.62</v>
      </c>
      <c r="S61" s="161">
        <f t="shared" si="48"/>
        <v>0</v>
      </c>
      <c r="T61" s="161">
        <f t="shared" si="49"/>
        <v>0</v>
      </c>
      <c r="U61" s="161">
        <f t="shared" si="50"/>
        <v>0</v>
      </c>
      <c r="V61" s="161">
        <f t="shared" si="51"/>
        <v>0</v>
      </c>
      <c r="W61" s="161">
        <f t="shared" si="52"/>
        <v>0</v>
      </c>
      <c r="X61" s="161">
        <f t="shared" si="53"/>
        <v>0</v>
      </c>
      <c r="Y61" s="161">
        <f t="shared" si="54"/>
        <v>0</v>
      </c>
      <c r="Z61" s="161">
        <f t="shared" si="55"/>
        <v>0</v>
      </c>
      <c r="AA61" s="161">
        <f t="shared" si="56"/>
        <v>0</v>
      </c>
      <c r="AB61" s="161"/>
      <c r="AC61" s="168">
        <v>43</v>
      </c>
      <c r="AD61" s="213">
        <f t="shared" ca="1" si="39"/>
        <v>46456</v>
      </c>
      <c r="AE61" s="260">
        <f t="shared" si="75"/>
        <v>56.62</v>
      </c>
      <c r="AF61" s="168"/>
      <c r="AG61" s="233">
        <v>43</v>
      </c>
      <c r="AH61" s="213">
        <f t="shared" ca="1" si="40"/>
        <v>46456</v>
      </c>
      <c r="AI61" s="260">
        <f t="shared" ca="1" si="35"/>
        <v>619.79</v>
      </c>
      <c r="AJ61" s="215">
        <f t="shared" ca="1" si="36"/>
        <v>275.26042534929553</v>
      </c>
      <c r="AK61" s="168">
        <v>43</v>
      </c>
      <c r="AL61" s="213">
        <f t="shared" ca="1" si="41"/>
        <v>46456</v>
      </c>
      <c r="AM61" s="260">
        <f t="shared" ca="1" si="37"/>
        <v>676.41</v>
      </c>
      <c r="AO61" s="161">
        <v>43</v>
      </c>
      <c r="AP61" s="117">
        <f t="shared" si="76"/>
        <v>56.62</v>
      </c>
      <c r="AQ61" s="117">
        <f t="shared" si="77"/>
        <v>0</v>
      </c>
      <c r="AR61" s="117">
        <f t="shared" si="78"/>
        <v>0</v>
      </c>
      <c r="AS61" s="161">
        <f t="shared" si="79"/>
        <v>0</v>
      </c>
      <c r="AT61" s="161">
        <f t="shared" si="80"/>
        <v>0</v>
      </c>
      <c r="AU61" s="161">
        <f t="shared" si="81"/>
        <v>0</v>
      </c>
      <c r="AV61" s="161">
        <f t="shared" si="82"/>
        <v>0</v>
      </c>
      <c r="AW61" s="161">
        <f t="shared" si="83"/>
        <v>0</v>
      </c>
      <c r="AX61" s="161">
        <f t="shared" si="84"/>
        <v>0</v>
      </c>
      <c r="AY61" s="161">
        <f t="shared" si="85"/>
        <v>0</v>
      </c>
      <c r="BD61" s="186" t="str">
        <f t="shared" si="86"/>
        <v>1GOV PB</v>
      </c>
      <c r="BE61" s="186">
        <f t="shared" si="87"/>
        <v>1</v>
      </c>
      <c r="BF61" s="209" t="str">
        <f>'Base tabelas'!A40</f>
        <v>GOV PB</v>
      </c>
      <c r="BG61" s="209" t="str">
        <f>'Base tabelas'!B40</f>
        <v>505001 - Tabela 1</v>
      </c>
      <c r="BH61" s="209">
        <f>'Base tabelas'!C40</f>
        <v>1.9799999999999998E-2</v>
      </c>
      <c r="BI61" s="209">
        <f>'Base tabelas'!D40</f>
        <v>120</v>
      </c>
      <c r="BJ61" s="209" t="str">
        <f>'Base tabelas'!E40</f>
        <v/>
      </c>
      <c r="BK61" s="209">
        <f>'Base tabelas'!F40</f>
        <v>1.98</v>
      </c>
      <c r="BL61" s="209">
        <f>'Base tabelas'!G40</f>
        <v>20</v>
      </c>
      <c r="BM61" s="209">
        <f>'Base tabelas'!H40</f>
        <v>69</v>
      </c>
      <c r="BN61" s="209" t="str">
        <f>'Base tabelas'!I40</f>
        <v>RFN - GOV. PARAIBA 1 DIG PORTAB</v>
      </c>
      <c r="BO61" s="209" t="str">
        <f>'Base tabelas'!J40</f>
        <v>1,7</v>
      </c>
      <c r="BP61" s="209">
        <f>'Base tabelas'!K40</f>
        <v>1.7000000000000001E-2</v>
      </c>
      <c r="BQ61" s="277">
        <f t="shared" si="57"/>
        <v>2.3123041668517058E-2</v>
      </c>
      <c r="BR61" s="278">
        <f t="shared" si="58"/>
        <v>1.9799999999999998E-2</v>
      </c>
      <c r="BS61" s="279">
        <v>2.9999999999999997E-4</v>
      </c>
      <c r="BU61" s="118" t="s">
        <v>208</v>
      </c>
      <c r="BV61" s="161">
        <v>49</v>
      </c>
    </row>
    <row r="62" spans="3:74" hidden="1" x14ac:dyDescent="0.25">
      <c r="C62">
        <v>13</v>
      </c>
      <c r="D62" s="10">
        <f t="shared" ca="1" si="74"/>
        <v>45545</v>
      </c>
      <c r="E62" s="14">
        <f t="shared" ca="1" si="88"/>
        <v>44.840316720170144</v>
      </c>
      <c r="F62" s="14">
        <f t="shared" si="88"/>
        <v>0</v>
      </c>
      <c r="G62" s="14">
        <f t="shared" si="88"/>
        <v>0</v>
      </c>
      <c r="H62" s="14">
        <f t="shared" si="88"/>
        <v>0</v>
      </c>
      <c r="I62" s="14">
        <f t="shared" si="88"/>
        <v>0</v>
      </c>
      <c r="J62" s="14">
        <f t="shared" si="88"/>
        <v>0</v>
      </c>
      <c r="K62" s="14">
        <f t="shared" si="88"/>
        <v>0</v>
      </c>
      <c r="L62" s="14">
        <f t="shared" si="88"/>
        <v>0</v>
      </c>
      <c r="M62" s="14">
        <f t="shared" si="88"/>
        <v>0</v>
      </c>
      <c r="N62" s="14">
        <f t="shared" si="88"/>
        <v>0</v>
      </c>
      <c r="O62" s="224"/>
      <c r="P62" s="284"/>
      <c r="Q62" s="161">
        <v>44</v>
      </c>
      <c r="R62" s="161">
        <f t="shared" si="47"/>
        <v>56.62</v>
      </c>
      <c r="S62" s="161">
        <f t="shared" si="48"/>
        <v>0</v>
      </c>
      <c r="T62" s="161">
        <f t="shared" si="49"/>
        <v>0</v>
      </c>
      <c r="U62" s="161">
        <f t="shared" si="50"/>
        <v>0</v>
      </c>
      <c r="V62" s="161">
        <f t="shared" si="51"/>
        <v>0</v>
      </c>
      <c r="W62" s="161">
        <f t="shared" si="52"/>
        <v>0</v>
      </c>
      <c r="X62" s="161">
        <f t="shared" si="53"/>
        <v>0</v>
      </c>
      <c r="Y62" s="161">
        <f t="shared" si="54"/>
        <v>0</v>
      </c>
      <c r="Z62" s="161">
        <f t="shared" si="55"/>
        <v>0</v>
      </c>
      <c r="AA62" s="161">
        <f t="shared" si="56"/>
        <v>0</v>
      </c>
      <c r="AB62" s="161"/>
      <c r="AC62" s="168">
        <v>44</v>
      </c>
      <c r="AD62" s="213">
        <f t="shared" ca="1" si="39"/>
        <v>46487</v>
      </c>
      <c r="AE62" s="260">
        <f t="shared" si="75"/>
        <v>56.62</v>
      </c>
      <c r="AF62" s="168"/>
      <c r="AG62" s="233">
        <v>44</v>
      </c>
      <c r="AH62" s="213">
        <f t="shared" ca="1" si="40"/>
        <v>46487</v>
      </c>
      <c r="AI62" s="260">
        <f t="shared" ca="1" si="35"/>
        <v>619.79</v>
      </c>
      <c r="AJ62" s="215">
        <f t="shared" ca="1" si="36"/>
        <v>269.93119768405791</v>
      </c>
      <c r="AK62" s="168">
        <v>44</v>
      </c>
      <c r="AL62" s="213">
        <f t="shared" ca="1" si="41"/>
        <v>46487</v>
      </c>
      <c r="AM62" s="260">
        <f t="shared" ca="1" si="37"/>
        <v>676.41</v>
      </c>
      <c r="AO62" s="161">
        <v>44</v>
      </c>
      <c r="AP62" s="117">
        <f t="shared" si="76"/>
        <v>56.62</v>
      </c>
      <c r="AQ62" s="117">
        <f t="shared" si="77"/>
        <v>0</v>
      </c>
      <c r="AR62" s="117">
        <f t="shared" si="78"/>
        <v>0</v>
      </c>
      <c r="AS62" s="161">
        <f t="shared" si="79"/>
        <v>0</v>
      </c>
      <c r="AT62" s="161">
        <f t="shared" si="80"/>
        <v>0</v>
      </c>
      <c r="AU62" s="161">
        <f t="shared" si="81"/>
        <v>0</v>
      </c>
      <c r="AV62" s="161">
        <f t="shared" si="82"/>
        <v>0</v>
      </c>
      <c r="AW62" s="161">
        <f t="shared" si="83"/>
        <v>0</v>
      </c>
      <c r="AX62" s="161">
        <f t="shared" si="84"/>
        <v>0</v>
      </c>
      <c r="AY62" s="161">
        <f t="shared" si="85"/>
        <v>0</v>
      </c>
      <c r="BD62" s="186" t="str">
        <f t="shared" si="86"/>
        <v>1GOV PE</v>
      </c>
      <c r="BE62" s="186">
        <f t="shared" si="87"/>
        <v>1</v>
      </c>
      <c r="BF62" s="209" t="str">
        <f>'Base tabelas'!A41</f>
        <v>GOV PE</v>
      </c>
      <c r="BG62" s="209" t="str">
        <f>'Base tabelas'!B41</f>
        <v>745125 - Tabela 1</v>
      </c>
      <c r="BH62" s="209">
        <f>'Base tabelas'!C41</f>
        <v>1.6500000000000001E-2</v>
      </c>
      <c r="BI62" s="209">
        <f>'Base tabelas'!D41</f>
        <v>96</v>
      </c>
      <c r="BJ62" s="209" t="str">
        <f>'Base tabelas'!E41</f>
        <v/>
      </c>
      <c r="BK62" s="209">
        <f>'Base tabelas'!F41</f>
        <v>2.7</v>
      </c>
      <c r="BL62" s="209">
        <f>'Base tabelas'!G41</f>
        <v>10</v>
      </c>
      <c r="BM62" s="209">
        <f>'Base tabelas'!H41</f>
        <v>52</v>
      </c>
      <c r="BN62" s="209" t="str">
        <f>'Base tabelas'!I41</f>
        <v>RFN - GOV. PE DIG 1 PORTABILIDADE</v>
      </c>
      <c r="BO62" s="209">
        <f>'Base tabelas'!J41</f>
        <v>1.4</v>
      </c>
      <c r="BP62" s="209">
        <f>'Base tabelas'!K41</f>
        <v>1.3999999999999999E-2</v>
      </c>
      <c r="BQ62" s="277">
        <f t="shared" si="57"/>
        <v>2.1716111928381826E-2</v>
      </c>
      <c r="BR62" s="278">
        <v>2.9000000000000001E-2</v>
      </c>
      <c r="BS62" s="279">
        <v>2.9999999999999997E-4</v>
      </c>
      <c r="BU62" s="118" t="s">
        <v>210</v>
      </c>
      <c r="BV62" s="161">
        <v>45.5</v>
      </c>
    </row>
    <row r="63" spans="3:74" hidden="1" x14ac:dyDescent="0.25">
      <c r="C63">
        <v>14</v>
      </c>
      <c r="D63" s="10">
        <f t="shared" ca="1" si="74"/>
        <v>45575</v>
      </c>
      <c r="E63" s="14">
        <f t="shared" ca="1" si="88"/>
        <v>44.013522696319775</v>
      </c>
      <c r="F63" s="14">
        <f t="shared" si="88"/>
        <v>0</v>
      </c>
      <c r="G63" s="14">
        <f t="shared" si="88"/>
        <v>0</v>
      </c>
      <c r="H63" s="14">
        <f t="shared" si="88"/>
        <v>0</v>
      </c>
      <c r="I63" s="14">
        <f t="shared" si="88"/>
        <v>0</v>
      </c>
      <c r="J63" s="14">
        <f t="shared" si="88"/>
        <v>0</v>
      </c>
      <c r="K63" s="14">
        <f t="shared" si="88"/>
        <v>0</v>
      </c>
      <c r="L63" s="14">
        <f t="shared" si="88"/>
        <v>0</v>
      </c>
      <c r="M63" s="14">
        <f t="shared" si="88"/>
        <v>0</v>
      </c>
      <c r="N63" s="14">
        <f t="shared" si="88"/>
        <v>0</v>
      </c>
      <c r="O63" s="224"/>
      <c r="P63" s="284"/>
      <c r="Q63" s="161">
        <v>45</v>
      </c>
      <c r="R63" s="161">
        <f t="shared" si="47"/>
        <v>56.62</v>
      </c>
      <c r="S63" s="161">
        <f t="shared" si="48"/>
        <v>0</v>
      </c>
      <c r="T63" s="161">
        <f t="shared" si="49"/>
        <v>0</v>
      </c>
      <c r="U63" s="161">
        <f t="shared" si="50"/>
        <v>0</v>
      </c>
      <c r="V63" s="161">
        <f t="shared" si="51"/>
        <v>0</v>
      </c>
      <c r="W63" s="161">
        <f t="shared" si="52"/>
        <v>0</v>
      </c>
      <c r="X63" s="161">
        <f t="shared" si="53"/>
        <v>0</v>
      </c>
      <c r="Y63" s="161">
        <f t="shared" si="54"/>
        <v>0</v>
      </c>
      <c r="Z63" s="161">
        <f t="shared" si="55"/>
        <v>0</v>
      </c>
      <c r="AA63" s="161">
        <f t="shared" si="56"/>
        <v>0</v>
      </c>
      <c r="AB63" s="161"/>
      <c r="AC63" s="168">
        <v>45</v>
      </c>
      <c r="AD63" s="213">
        <f t="shared" ca="1" si="39"/>
        <v>46517</v>
      </c>
      <c r="AE63" s="260">
        <f t="shared" si="75"/>
        <v>56.62</v>
      </c>
      <c r="AF63" s="168"/>
      <c r="AG63" s="233">
        <v>45</v>
      </c>
      <c r="AH63" s="213">
        <f t="shared" ca="1" si="40"/>
        <v>46517</v>
      </c>
      <c r="AI63" s="260">
        <f t="shared" ca="1" si="35"/>
        <v>619.79</v>
      </c>
      <c r="AJ63" s="215">
        <f t="shared" ca="1" si="36"/>
        <v>264.87213981361782</v>
      </c>
      <c r="AK63" s="168">
        <v>45</v>
      </c>
      <c r="AL63" s="213">
        <f t="shared" ca="1" si="41"/>
        <v>46517</v>
      </c>
      <c r="AM63" s="260">
        <f t="shared" ca="1" si="37"/>
        <v>676.41</v>
      </c>
      <c r="AO63" s="161">
        <v>45</v>
      </c>
      <c r="AP63" s="117">
        <f t="shared" si="76"/>
        <v>56.62</v>
      </c>
      <c r="AQ63" s="117">
        <f t="shared" si="77"/>
        <v>0</v>
      </c>
      <c r="AR63" s="117">
        <f t="shared" si="78"/>
        <v>0</v>
      </c>
      <c r="AS63" s="161">
        <f t="shared" si="79"/>
        <v>0</v>
      </c>
      <c r="AT63" s="161">
        <f t="shared" si="80"/>
        <v>0</v>
      </c>
      <c r="AU63" s="161">
        <f t="shared" si="81"/>
        <v>0</v>
      </c>
      <c r="AV63" s="161">
        <f t="shared" si="82"/>
        <v>0</v>
      </c>
      <c r="AW63" s="161">
        <f t="shared" si="83"/>
        <v>0</v>
      </c>
      <c r="AX63" s="161">
        <f t="shared" si="84"/>
        <v>0</v>
      </c>
      <c r="AY63" s="161">
        <f t="shared" si="85"/>
        <v>0</v>
      </c>
      <c r="BD63" s="186" t="str">
        <f t="shared" si="86"/>
        <v>2GOV PE</v>
      </c>
      <c r="BE63" s="186">
        <f t="shared" si="87"/>
        <v>2</v>
      </c>
      <c r="BF63" s="209" t="str">
        <f>'Base tabelas'!A42</f>
        <v>GOV PE</v>
      </c>
      <c r="BG63" s="209" t="str">
        <f>'Base tabelas'!B42</f>
        <v xml:space="preserve">745130 - Tabela </v>
      </c>
      <c r="BH63" s="209">
        <f>'Base tabelas'!C42</f>
        <v>1.5600000000000001E-2</v>
      </c>
      <c r="BI63" s="209">
        <f>'Base tabelas'!D42</f>
        <v>96</v>
      </c>
      <c r="BJ63" s="209" t="str">
        <f>'Base tabelas'!E42</f>
        <v/>
      </c>
      <c r="BK63" s="209">
        <f>'Base tabelas'!F42</f>
        <v>2.7</v>
      </c>
      <c r="BL63" s="209">
        <f>'Base tabelas'!G42</f>
        <v>10</v>
      </c>
      <c r="BM63" s="209">
        <f>'Base tabelas'!H42</f>
        <v>52</v>
      </c>
      <c r="BN63" s="209" t="str">
        <f>'Base tabelas'!I42</f>
        <v>RFN - GOV. PE DIG PORTABILIDADE COMB</v>
      </c>
      <c r="BO63" s="209">
        <f>'Base tabelas'!J42</f>
        <v>1.4</v>
      </c>
      <c r="BP63" s="209">
        <f>'Base tabelas'!K42</f>
        <v>1.3999999999999999E-2</v>
      </c>
      <c r="BQ63" s="277">
        <f t="shared" si="57"/>
        <v>2.1007406898893979E-2</v>
      </c>
      <c r="BR63" s="278">
        <v>2.9000000000000001E-2</v>
      </c>
      <c r="BS63" s="279">
        <v>2.9999999999999997E-4</v>
      </c>
      <c r="BU63" s="118" t="s">
        <v>398</v>
      </c>
      <c r="BV63" s="161">
        <v>33</v>
      </c>
    </row>
    <row r="64" spans="3:74" hidden="1" x14ac:dyDescent="0.25">
      <c r="C64">
        <v>15</v>
      </c>
      <c r="D64" s="10">
        <f t="shared" ca="1" si="74"/>
        <v>45606</v>
      </c>
      <c r="E64" s="14">
        <f t="shared" ca="1" si="88"/>
        <v>43.175181242006815</v>
      </c>
      <c r="F64" s="14">
        <f t="shared" si="88"/>
        <v>0</v>
      </c>
      <c r="G64" s="14">
        <f t="shared" si="88"/>
        <v>0</v>
      </c>
      <c r="H64" s="14">
        <f t="shared" si="88"/>
        <v>0</v>
      </c>
      <c r="I64" s="14">
        <f t="shared" si="88"/>
        <v>0</v>
      </c>
      <c r="J64" s="14">
        <f t="shared" si="88"/>
        <v>0</v>
      </c>
      <c r="K64" s="14">
        <f t="shared" si="88"/>
        <v>0</v>
      </c>
      <c r="L64" s="14">
        <f t="shared" si="88"/>
        <v>0</v>
      </c>
      <c r="M64" s="14">
        <f t="shared" si="88"/>
        <v>0</v>
      </c>
      <c r="N64" s="14">
        <f t="shared" si="88"/>
        <v>0</v>
      </c>
      <c r="O64" s="224"/>
      <c r="P64" s="284"/>
      <c r="Q64" s="161">
        <v>46</v>
      </c>
      <c r="R64" s="161">
        <f t="shared" si="47"/>
        <v>56.62</v>
      </c>
      <c r="S64" s="161">
        <f t="shared" si="48"/>
        <v>0</v>
      </c>
      <c r="T64" s="161">
        <f t="shared" si="49"/>
        <v>0</v>
      </c>
      <c r="U64" s="161">
        <f t="shared" si="50"/>
        <v>0</v>
      </c>
      <c r="V64" s="161">
        <f t="shared" si="51"/>
        <v>0</v>
      </c>
      <c r="W64" s="161">
        <f t="shared" si="52"/>
        <v>0</v>
      </c>
      <c r="X64" s="161">
        <f t="shared" si="53"/>
        <v>0</v>
      </c>
      <c r="Y64" s="161">
        <f t="shared" si="54"/>
        <v>0</v>
      </c>
      <c r="Z64" s="161">
        <f t="shared" si="55"/>
        <v>0</v>
      </c>
      <c r="AA64" s="161">
        <f t="shared" si="56"/>
        <v>0</v>
      </c>
      <c r="AB64" s="161"/>
      <c r="AC64" s="168">
        <v>46</v>
      </c>
      <c r="AD64" s="213">
        <f t="shared" ca="1" si="39"/>
        <v>46548</v>
      </c>
      <c r="AE64" s="260">
        <f t="shared" si="75"/>
        <v>56.62</v>
      </c>
      <c r="AF64" s="168"/>
      <c r="AG64" s="233">
        <v>46</v>
      </c>
      <c r="AH64" s="213">
        <f t="shared" ca="1" si="40"/>
        <v>46548</v>
      </c>
      <c r="AI64" s="260">
        <f t="shared" ca="1" si="35"/>
        <v>619.79</v>
      </c>
      <c r="AJ64" s="215">
        <f t="shared" ca="1" si="36"/>
        <v>259.74403636956401</v>
      </c>
      <c r="AK64" s="168">
        <v>46</v>
      </c>
      <c r="AL64" s="213">
        <f t="shared" ca="1" si="41"/>
        <v>46548</v>
      </c>
      <c r="AM64" s="260">
        <f t="shared" ca="1" si="37"/>
        <v>676.41</v>
      </c>
      <c r="AO64" s="161">
        <v>46</v>
      </c>
      <c r="AP64" s="117">
        <f t="shared" si="76"/>
        <v>56.62</v>
      </c>
      <c r="AQ64" s="117">
        <f t="shared" si="77"/>
        <v>0</v>
      </c>
      <c r="AR64" s="117">
        <f t="shared" si="78"/>
        <v>0</v>
      </c>
      <c r="AS64" s="161">
        <f t="shared" si="79"/>
        <v>0</v>
      </c>
      <c r="AT64" s="161">
        <f t="shared" si="80"/>
        <v>0</v>
      </c>
      <c r="AU64" s="161">
        <f t="shared" si="81"/>
        <v>0</v>
      </c>
      <c r="AV64" s="161">
        <f t="shared" si="82"/>
        <v>0</v>
      </c>
      <c r="AW64" s="161">
        <f t="shared" si="83"/>
        <v>0</v>
      </c>
      <c r="AX64" s="161">
        <f t="shared" si="84"/>
        <v>0</v>
      </c>
      <c r="AY64" s="161">
        <f t="shared" si="85"/>
        <v>0</v>
      </c>
      <c r="BD64" s="186" t="str">
        <f t="shared" si="86"/>
        <v>1GOV RONDONIA</v>
      </c>
      <c r="BE64" s="186">
        <f t="shared" si="87"/>
        <v>1</v>
      </c>
      <c r="BF64" s="209" t="str">
        <f>'Base tabelas'!A43</f>
        <v>GOV RONDONIA</v>
      </c>
      <c r="BG64" s="209" t="str">
        <f>'Base tabelas'!B43</f>
        <v>775191 - Tabela 1</v>
      </c>
      <c r="BH64" s="209">
        <f>'Base tabelas'!C43</f>
        <v>2.1000000000000001E-2</v>
      </c>
      <c r="BI64" s="209">
        <f>'Base tabelas'!D43</f>
        <v>96</v>
      </c>
      <c r="BJ64" s="209" t="str">
        <f>'Base tabelas'!E43</f>
        <v/>
      </c>
      <c r="BK64" s="209">
        <f>'Base tabelas'!F43</f>
        <v>2.1</v>
      </c>
      <c r="BL64" s="209">
        <f>'Base tabelas'!G43</f>
        <v>10</v>
      </c>
      <c r="BM64" s="209">
        <f>'Base tabelas'!H43</f>
        <v>58</v>
      </c>
      <c r="BN64" s="209" t="str">
        <f>'Base tabelas'!I43</f>
        <v>RFN - GOV. RONDONIA 1 DIG PORTAB</v>
      </c>
      <c r="BO64" s="209" t="str">
        <f>'Base tabelas'!J43</f>
        <v>1,75</v>
      </c>
      <c r="BP64" s="209">
        <f>'Base tabelas'!K43</f>
        <v>1.7500000000000002E-2</v>
      </c>
      <c r="BQ64" s="277">
        <f t="shared" si="57"/>
        <v>2.552918080891808E-2</v>
      </c>
      <c r="BR64" s="278">
        <f t="shared" si="58"/>
        <v>2.1000000000000001E-2</v>
      </c>
      <c r="BS64" s="279">
        <v>2.9999999999999997E-4</v>
      </c>
      <c r="BU64" s="118" t="s">
        <v>401</v>
      </c>
      <c r="BV64" s="161">
        <v>70</v>
      </c>
    </row>
    <row r="65" spans="3:74" hidden="1" x14ac:dyDescent="0.25">
      <c r="C65">
        <v>16</v>
      </c>
      <c r="D65" s="10">
        <f t="shared" ca="1" si="74"/>
        <v>45636</v>
      </c>
      <c r="E65" s="14">
        <f t="shared" ca="1" si="88"/>
        <v>42.379090035686446</v>
      </c>
      <c r="F65" s="14">
        <f t="shared" si="88"/>
        <v>0</v>
      </c>
      <c r="G65" s="14">
        <f t="shared" si="88"/>
        <v>0</v>
      </c>
      <c r="H65" s="14">
        <f t="shared" si="88"/>
        <v>0</v>
      </c>
      <c r="I65" s="14">
        <f t="shared" si="88"/>
        <v>0</v>
      </c>
      <c r="J65" s="14">
        <f t="shared" si="88"/>
        <v>0</v>
      </c>
      <c r="K65" s="14">
        <f t="shared" si="88"/>
        <v>0</v>
      </c>
      <c r="L65" s="14">
        <f t="shared" si="88"/>
        <v>0</v>
      </c>
      <c r="M65" s="14">
        <f t="shared" si="88"/>
        <v>0</v>
      </c>
      <c r="N65" s="14">
        <f t="shared" si="88"/>
        <v>0</v>
      </c>
      <c r="O65" s="224"/>
      <c r="P65" s="284"/>
      <c r="Q65" s="161">
        <v>47</v>
      </c>
      <c r="R65" s="161">
        <f t="shared" si="47"/>
        <v>56.62</v>
      </c>
      <c r="S65" s="161">
        <f t="shared" si="48"/>
        <v>0</v>
      </c>
      <c r="T65" s="161">
        <f t="shared" si="49"/>
        <v>0</v>
      </c>
      <c r="U65" s="161">
        <f t="shared" si="50"/>
        <v>0</v>
      </c>
      <c r="V65" s="161">
        <f t="shared" si="51"/>
        <v>0</v>
      </c>
      <c r="W65" s="161">
        <f t="shared" si="52"/>
        <v>0</v>
      </c>
      <c r="X65" s="161">
        <f t="shared" si="53"/>
        <v>0</v>
      </c>
      <c r="Y65" s="161">
        <f t="shared" si="54"/>
        <v>0</v>
      </c>
      <c r="Z65" s="161">
        <f t="shared" si="55"/>
        <v>0</v>
      </c>
      <c r="AA65" s="161">
        <f t="shared" si="56"/>
        <v>0</v>
      </c>
      <c r="AB65" s="161"/>
      <c r="AC65" s="168">
        <v>47</v>
      </c>
      <c r="AD65" s="213">
        <f t="shared" ca="1" si="39"/>
        <v>46578</v>
      </c>
      <c r="AE65" s="260">
        <f t="shared" si="75"/>
        <v>56.62</v>
      </c>
      <c r="AF65" s="168"/>
      <c r="AG65" s="233">
        <v>47</v>
      </c>
      <c r="AH65" s="213">
        <f t="shared" ca="1" si="40"/>
        <v>46578</v>
      </c>
      <c r="AI65" s="260">
        <f t="shared" ca="1" si="35"/>
        <v>619.79</v>
      </c>
      <c r="AJ65" s="215">
        <f t="shared" ca="1" si="36"/>
        <v>254.87590655437552</v>
      </c>
      <c r="AK65" s="168">
        <v>47</v>
      </c>
      <c r="AL65" s="213">
        <f t="shared" ca="1" si="41"/>
        <v>46578</v>
      </c>
      <c r="AM65" s="260">
        <f t="shared" ca="1" si="37"/>
        <v>676.41</v>
      </c>
      <c r="AO65" s="161">
        <v>47</v>
      </c>
      <c r="AP65" s="117">
        <f t="shared" si="76"/>
        <v>56.62</v>
      </c>
      <c r="AQ65" s="117">
        <f t="shared" si="77"/>
        <v>0</v>
      </c>
      <c r="AR65" s="117">
        <f t="shared" si="78"/>
        <v>0</v>
      </c>
      <c r="AS65" s="161">
        <f t="shared" si="79"/>
        <v>0</v>
      </c>
      <c r="AT65" s="161">
        <f t="shared" si="80"/>
        <v>0</v>
      </c>
      <c r="AU65" s="161">
        <f t="shared" si="81"/>
        <v>0</v>
      </c>
      <c r="AV65" s="161">
        <f t="shared" si="82"/>
        <v>0</v>
      </c>
      <c r="AW65" s="161">
        <f t="shared" si="83"/>
        <v>0</v>
      </c>
      <c r="AX65" s="161">
        <f t="shared" si="84"/>
        <v>0</v>
      </c>
      <c r="AY65" s="161">
        <f t="shared" si="85"/>
        <v>0</v>
      </c>
      <c r="BD65" s="186" t="str">
        <f t="shared" si="86"/>
        <v>2GOV RONDONIA</v>
      </c>
      <c r="BE65" s="186">
        <f t="shared" si="87"/>
        <v>2</v>
      </c>
      <c r="BF65" s="209" t="str">
        <f>'Base tabelas'!A44</f>
        <v>GOV RONDONIA</v>
      </c>
      <c r="BG65" s="209" t="str">
        <f>'Base tabelas'!B44</f>
        <v>775192 - Tabela 2</v>
      </c>
      <c r="BH65" s="209">
        <f>'Base tabelas'!C44</f>
        <v>2.0499999999999997E-2</v>
      </c>
      <c r="BI65" s="209">
        <f>'Base tabelas'!D44</f>
        <v>96</v>
      </c>
      <c r="BJ65" s="209" t="str">
        <f>'Base tabelas'!E44</f>
        <v/>
      </c>
      <c r="BK65" s="209">
        <f>'Base tabelas'!F44</f>
        <v>2.1</v>
      </c>
      <c r="BL65" s="209">
        <f>'Base tabelas'!G44</f>
        <v>10</v>
      </c>
      <c r="BM65" s="209">
        <f>'Base tabelas'!H44</f>
        <v>55</v>
      </c>
      <c r="BN65" s="209" t="str">
        <f>'Base tabelas'!I44</f>
        <v>RFN - GOV. RONDONIA 2 DIG PORTAB</v>
      </c>
      <c r="BO65" s="209" t="str">
        <f>'Base tabelas'!J44</f>
        <v>1,75</v>
      </c>
      <c r="BP65" s="209">
        <f>'Base tabelas'!K44</f>
        <v>1.7500000000000002E-2</v>
      </c>
      <c r="BQ65" s="277">
        <f t="shared" si="57"/>
        <v>2.5049291924639897E-2</v>
      </c>
      <c r="BR65" s="278">
        <f t="shared" si="58"/>
        <v>2.1000000000000001E-2</v>
      </c>
      <c r="BS65" s="279">
        <v>2.9999999999999997E-4</v>
      </c>
      <c r="BU65" s="118" t="s">
        <v>215</v>
      </c>
      <c r="BV65" s="161">
        <v>64</v>
      </c>
    </row>
    <row r="66" spans="3:74" hidden="1" x14ac:dyDescent="0.25">
      <c r="C66">
        <v>17</v>
      </c>
      <c r="D66" s="10">
        <f t="shared" ca="1" si="74"/>
        <v>45667</v>
      </c>
      <c r="E66" s="14">
        <f t="shared" ca="1" si="88"/>
        <v>41.571880210240046</v>
      </c>
      <c r="F66" s="14">
        <f t="shared" si="88"/>
        <v>0</v>
      </c>
      <c r="G66" s="14">
        <f t="shared" si="88"/>
        <v>0</v>
      </c>
      <c r="H66" s="14">
        <f t="shared" si="88"/>
        <v>0</v>
      </c>
      <c r="I66" s="14">
        <f t="shared" si="88"/>
        <v>0</v>
      </c>
      <c r="J66" s="14">
        <f t="shared" si="88"/>
        <v>0</v>
      </c>
      <c r="K66" s="14">
        <f t="shared" si="88"/>
        <v>0</v>
      </c>
      <c r="L66" s="14">
        <f t="shared" si="88"/>
        <v>0</v>
      </c>
      <c r="M66" s="14">
        <f t="shared" si="88"/>
        <v>0</v>
      </c>
      <c r="N66" s="14">
        <f t="shared" si="88"/>
        <v>0</v>
      </c>
      <c r="O66" s="224"/>
      <c r="P66" s="284"/>
      <c r="Q66" s="161">
        <v>48</v>
      </c>
      <c r="R66" s="161">
        <f t="shared" si="47"/>
        <v>56.62</v>
      </c>
      <c r="S66" s="161">
        <f t="shared" si="48"/>
        <v>0</v>
      </c>
      <c r="T66" s="161">
        <f t="shared" si="49"/>
        <v>0</v>
      </c>
      <c r="U66" s="161">
        <f t="shared" si="50"/>
        <v>0</v>
      </c>
      <c r="V66" s="161">
        <f t="shared" si="51"/>
        <v>0</v>
      </c>
      <c r="W66" s="161">
        <f t="shared" si="52"/>
        <v>0</v>
      </c>
      <c r="X66" s="161">
        <f t="shared" si="53"/>
        <v>0</v>
      </c>
      <c r="Y66" s="161">
        <f t="shared" si="54"/>
        <v>0</v>
      </c>
      <c r="Z66" s="161">
        <f t="shared" si="55"/>
        <v>0</v>
      </c>
      <c r="AA66" s="161">
        <f t="shared" si="56"/>
        <v>0</v>
      </c>
      <c r="AB66" s="161"/>
      <c r="AC66" s="168">
        <v>48</v>
      </c>
      <c r="AD66" s="213">
        <f t="shared" ca="1" si="39"/>
        <v>46609</v>
      </c>
      <c r="AE66" s="260">
        <f t="shared" si="75"/>
        <v>56.62</v>
      </c>
      <c r="AF66" s="168"/>
      <c r="AG66" s="233">
        <v>48</v>
      </c>
      <c r="AH66" s="213">
        <f t="shared" ca="1" si="40"/>
        <v>46609</v>
      </c>
      <c r="AI66" s="260">
        <f t="shared" ca="1" si="35"/>
        <v>619.79</v>
      </c>
      <c r="AJ66" s="215">
        <f t="shared" ca="1" si="36"/>
        <v>249.94133693475641</v>
      </c>
      <c r="AK66" s="168">
        <v>48</v>
      </c>
      <c r="AL66" s="213">
        <f t="shared" ca="1" si="41"/>
        <v>46609</v>
      </c>
      <c r="AM66" s="260">
        <f t="shared" ca="1" si="37"/>
        <v>676.41</v>
      </c>
      <c r="AO66" s="161">
        <v>48</v>
      </c>
      <c r="AP66" s="117">
        <f t="shared" si="76"/>
        <v>56.62</v>
      </c>
      <c r="AQ66" s="117">
        <f t="shared" si="77"/>
        <v>0</v>
      </c>
      <c r="AR66" s="117">
        <f t="shared" si="78"/>
        <v>0</v>
      </c>
      <c r="AS66" s="161">
        <f t="shared" si="79"/>
        <v>0</v>
      </c>
      <c r="AT66" s="161">
        <f t="shared" si="80"/>
        <v>0</v>
      </c>
      <c r="AU66" s="161">
        <f t="shared" si="81"/>
        <v>0</v>
      </c>
      <c r="AV66" s="161">
        <f t="shared" si="82"/>
        <v>0</v>
      </c>
      <c r="AW66" s="161">
        <f t="shared" si="83"/>
        <v>0</v>
      </c>
      <c r="AX66" s="161">
        <f t="shared" si="84"/>
        <v>0</v>
      </c>
      <c r="AY66" s="161">
        <f t="shared" si="85"/>
        <v>0</v>
      </c>
      <c r="BD66" s="186" t="str">
        <f t="shared" si="86"/>
        <v xml:space="preserve">1GOV SC </v>
      </c>
      <c r="BE66" s="186">
        <f t="shared" si="87"/>
        <v>1</v>
      </c>
      <c r="BF66" s="209" t="str">
        <f>'Base tabelas'!A45</f>
        <v xml:space="preserve">GOV SC </v>
      </c>
      <c r="BG66" s="209" t="str">
        <f>'Base tabelas'!B45</f>
        <v>745166 - Tabela 1</v>
      </c>
      <c r="BH66" s="209">
        <f>'Base tabelas'!C45</f>
        <v>1.9E-2</v>
      </c>
      <c r="BI66" s="209">
        <f>'Base tabelas'!D45</f>
        <v>120</v>
      </c>
      <c r="BJ66" s="209" t="str">
        <f>'Base tabelas'!E45</f>
        <v/>
      </c>
      <c r="BK66" s="209">
        <f>'Base tabelas'!F45</f>
        <v>2.1</v>
      </c>
      <c r="BL66" s="209">
        <f>'Base tabelas'!G45</f>
        <v>10</v>
      </c>
      <c r="BM66" s="209">
        <f>'Base tabelas'!H45</f>
        <v>53</v>
      </c>
      <c r="BN66" s="209" t="str">
        <f>'Base tabelas'!I45</f>
        <v>RFN - GOV. SC DIG 1 PORTAB</v>
      </c>
      <c r="BO66" s="209" t="str">
        <f>'Base tabelas'!J45</f>
        <v>1,3</v>
      </c>
      <c r="BP66" s="209">
        <f>'Base tabelas'!K45</f>
        <v>1.3000000000000001E-2</v>
      </c>
      <c r="BQ66" s="277">
        <f t="shared" si="57"/>
        <v>2.2174898460632659E-2</v>
      </c>
      <c r="BR66" s="278">
        <f t="shared" si="58"/>
        <v>2.1000000000000001E-2</v>
      </c>
      <c r="BS66" s="279">
        <v>2.9999999999999997E-4</v>
      </c>
      <c r="BU66" s="118" t="s">
        <v>408</v>
      </c>
      <c r="BV66" s="161">
        <v>55</v>
      </c>
    </row>
    <row r="67" spans="3:74" hidden="1" x14ac:dyDescent="0.25">
      <c r="C67">
        <v>18</v>
      </c>
      <c r="D67" s="10">
        <f t="shared" ca="1" si="74"/>
        <v>45698</v>
      </c>
      <c r="E67" s="14">
        <f t="shared" ca="1" si="88"/>
        <v>40.78004560171663</v>
      </c>
      <c r="F67" s="14">
        <f t="shared" si="88"/>
        <v>0</v>
      </c>
      <c r="G67" s="14">
        <f t="shared" si="88"/>
        <v>0</v>
      </c>
      <c r="H67" s="14">
        <f t="shared" si="88"/>
        <v>0</v>
      </c>
      <c r="I67" s="14">
        <f t="shared" si="88"/>
        <v>0</v>
      </c>
      <c r="J67" s="14">
        <f t="shared" si="88"/>
        <v>0</v>
      </c>
      <c r="K67" s="14">
        <f t="shared" si="88"/>
        <v>0</v>
      </c>
      <c r="L67" s="14">
        <f t="shared" si="88"/>
        <v>0</v>
      </c>
      <c r="M67" s="14">
        <f t="shared" si="88"/>
        <v>0</v>
      </c>
      <c r="N67" s="14">
        <f t="shared" si="88"/>
        <v>0</v>
      </c>
      <c r="O67" s="224"/>
      <c r="P67" s="284"/>
      <c r="Q67" s="161">
        <v>49</v>
      </c>
      <c r="R67" s="161">
        <f t="shared" si="47"/>
        <v>56.62</v>
      </c>
      <c r="S67" s="161">
        <f t="shared" si="48"/>
        <v>0</v>
      </c>
      <c r="T67" s="161">
        <f t="shared" si="49"/>
        <v>0</v>
      </c>
      <c r="U67" s="161">
        <f t="shared" si="50"/>
        <v>0</v>
      </c>
      <c r="V67" s="161">
        <f t="shared" si="51"/>
        <v>0</v>
      </c>
      <c r="W67" s="161">
        <f t="shared" si="52"/>
        <v>0</v>
      </c>
      <c r="X67" s="161">
        <f t="shared" si="53"/>
        <v>0</v>
      </c>
      <c r="Y67" s="161">
        <f t="shared" si="54"/>
        <v>0</v>
      </c>
      <c r="Z67" s="161">
        <f t="shared" si="55"/>
        <v>0</v>
      </c>
      <c r="AA67" s="161">
        <f t="shared" si="56"/>
        <v>0</v>
      </c>
      <c r="AB67" s="161"/>
      <c r="AC67" s="168">
        <v>49</v>
      </c>
      <c r="AD67" s="213">
        <f t="shared" ca="1" si="39"/>
        <v>46640</v>
      </c>
      <c r="AE67" s="260">
        <f t="shared" si="75"/>
        <v>56.62</v>
      </c>
      <c r="AF67" s="168"/>
      <c r="AG67" s="233">
        <v>49</v>
      </c>
      <c r="AH67" s="213">
        <f t="shared" ca="1" si="40"/>
        <v>46640</v>
      </c>
      <c r="AI67" s="260">
        <f t="shared" ca="1" si="35"/>
        <v>619.79</v>
      </c>
      <c r="AJ67" s="215">
        <f t="shared" ca="1" si="36"/>
        <v>245.10230391433953</v>
      </c>
      <c r="AK67" s="168">
        <v>49</v>
      </c>
      <c r="AL67" s="213">
        <f t="shared" ca="1" si="41"/>
        <v>46640</v>
      </c>
      <c r="AM67" s="260">
        <f t="shared" ca="1" si="37"/>
        <v>676.41</v>
      </c>
      <c r="AO67" s="161">
        <v>49</v>
      </c>
      <c r="AP67" s="117">
        <f t="shared" si="76"/>
        <v>56.62</v>
      </c>
      <c r="AQ67" s="117">
        <f t="shared" si="77"/>
        <v>0</v>
      </c>
      <c r="AR67" s="117">
        <f t="shared" si="78"/>
        <v>0</v>
      </c>
      <c r="AS67" s="161">
        <f t="shared" si="79"/>
        <v>0</v>
      </c>
      <c r="AT67" s="161">
        <f t="shared" si="80"/>
        <v>0</v>
      </c>
      <c r="AU67" s="161">
        <f t="shared" si="81"/>
        <v>0</v>
      </c>
      <c r="AV67" s="161">
        <f t="shared" si="82"/>
        <v>0</v>
      </c>
      <c r="AW67" s="161">
        <f t="shared" si="83"/>
        <v>0</v>
      </c>
      <c r="AX67" s="161">
        <f t="shared" si="84"/>
        <v>0</v>
      </c>
      <c r="AY67" s="161">
        <f t="shared" si="85"/>
        <v>0</v>
      </c>
      <c r="BD67" s="186" t="str">
        <f t="shared" si="86"/>
        <v xml:space="preserve">2GOV SC </v>
      </c>
      <c r="BE67" s="186">
        <f t="shared" si="87"/>
        <v>2</v>
      </c>
      <c r="BF67" s="209" t="str">
        <f>'Base tabelas'!A46</f>
        <v xml:space="preserve">GOV SC </v>
      </c>
      <c r="BG67" s="209" t="str">
        <f>'Base tabelas'!B46</f>
        <v>745167 - Tabela 2</v>
      </c>
      <c r="BH67" s="209">
        <f>'Base tabelas'!C46</f>
        <v>1.8000000000000002E-2</v>
      </c>
      <c r="BI67" s="209">
        <f>'Base tabelas'!D46</f>
        <v>120</v>
      </c>
      <c r="BJ67" s="209" t="str">
        <f>'Base tabelas'!E46</f>
        <v/>
      </c>
      <c r="BK67" s="209">
        <f>'Base tabelas'!F46</f>
        <v>2.1</v>
      </c>
      <c r="BL67" s="209">
        <f>'Base tabelas'!G46</f>
        <v>10</v>
      </c>
      <c r="BM67" s="209">
        <f>'Base tabelas'!H46</f>
        <v>53</v>
      </c>
      <c r="BN67" s="209" t="str">
        <f>'Base tabelas'!I46</f>
        <v>RFN - GOV. SC DIG 2 PORTAB</v>
      </c>
      <c r="BO67" s="209" t="str">
        <f>'Base tabelas'!J46</f>
        <v>1,3</v>
      </c>
      <c r="BP67" s="209">
        <f>'Base tabelas'!K46</f>
        <v>1.3000000000000001E-2</v>
      </c>
      <c r="BQ67" s="277">
        <f t="shared" si="57"/>
        <v>2.1302821170299791E-2</v>
      </c>
      <c r="BR67" s="278">
        <f t="shared" si="58"/>
        <v>2.1000000000000001E-2</v>
      </c>
      <c r="BS67" s="279">
        <v>2.9999999999999997E-4</v>
      </c>
      <c r="BU67" s="118" t="s">
        <v>480</v>
      </c>
      <c r="BV67" s="161">
        <v>41</v>
      </c>
    </row>
    <row r="68" spans="3:74" hidden="1" x14ac:dyDescent="0.25">
      <c r="C68">
        <v>19</v>
      </c>
      <c r="D68" s="10">
        <f t="shared" ca="1" si="74"/>
        <v>45726</v>
      </c>
      <c r="E68" s="14">
        <f t="shared" ca="1" si="88"/>
        <v>40.077811765862144</v>
      </c>
      <c r="F68" s="14">
        <f t="shared" si="88"/>
        <v>0</v>
      </c>
      <c r="G68" s="14">
        <f t="shared" si="88"/>
        <v>0</v>
      </c>
      <c r="H68" s="14">
        <f t="shared" si="88"/>
        <v>0</v>
      </c>
      <c r="I68" s="14">
        <f t="shared" si="88"/>
        <v>0</v>
      </c>
      <c r="J68" s="14">
        <f t="shared" si="88"/>
        <v>0</v>
      </c>
      <c r="K68" s="14">
        <f t="shared" si="88"/>
        <v>0</v>
      </c>
      <c r="L68" s="14">
        <f t="shared" si="88"/>
        <v>0</v>
      </c>
      <c r="M68" s="14">
        <f t="shared" si="88"/>
        <v>0</v>
      </c>
      <c r="N68" s="14">
        <f t="shared" si="88"/>
        <v>0</v>
      </c>
      <c r="O68" s="224"/>
      <c r="P68" s="284"/>
      <c r="Q68" s="161">
        <v>50</v>
      </c>
      <c r="R68" s="161">
        <f t="shared" si="47"/>
        <v>56.62</v>
      </c>
      <c r="S68" s="161">
        <f t="shared" si="48"/>
        <v>0</v>
      </c>
      <c r="T68" s="161">
        <f t="shared" si="49"/>
        <v>0</v>
      </c>
      <c r="U68" s="161">
        <f t="shared" si="50"/>
        <v>0</v>
      </c>
      <c r="V68" s="161">
        <f t="shared" si="51"/>
        <v>0</v>
      </c>
      <c r="W68" s="161">
        <f t="shared" si="52"/>
        <v>0</v>
      </c>
      <c r="X68" s="161">
        <f t="shared" si="53"/>
        <v>0</v>
      </c>
      <c r="Y68" s="161">
        <f t="shared" si="54"/>
        <v>0</v>
      </c>
      <c r="Z68" s="161">
        <f t="shared" si="55"/>
        <v>0</v>
      </c>
      <c r="AA68" s="161">
        <f t="shared" si="56"/>
        <v>0</v>
      </c>
      <c r="AB68" s="161"/>
      <c r="AC68" s="168">
        <v>50</v>
      </c>
      <c r="AD68" s="213">
        <f t="shared" ca="1" si="39"/>
        <v>46670</v>
      </c>
      <c r="AE68" s="260">
        <f t="shared" si="75"/>
        <v>56.62</v>
      </c>
      <c r="AF68" s="168"/>
      <c r="AG68" s="233">
        <v>50</v>
      </c>
      <c r="AH68" s="213">
        <f t="shared" ca="1" si="40"/>
        <v>46670</v>
      </c>
      <c r="AI68" s="260">
        <f t="shared" ca="1" si="35"/>
        <v>619.79</v>
      </c>
      <c r="AJ68" s="215">
        <f t="shared" ca="1" si="36"/>
        <v>240.50858984823822</v>
      </c>
      <c r="AK68" s="168">
        <v>50</v>
      </c>
      <c r="AL68" s="213">
        <f t="shared" ca="1" si="41"/>
        <v>46670</v>
      </c>
      <c r="AM68" s="260">
        <f t="shared" ca="1" si="37"/>
        <v>676.41</v>
      </c>
      <c r="AO68" s="161">
        <v>50</v>
      </c>
      <c r="AP68" s="117">
        <f t="shared" si="76"/>
        <v>56.62</v>
      </c>
      <c r="AQ68" s="117">
        <f t="shared" si="77"/>
        <v>0</v>
      </c>
      <c r="AR68" s="117">
        <f t="shared" si="78"/>
        <v>0</v>
      </c>
      <c r="AS68" s="161">
        <f t="shared" si="79"/>
        <v>0</v>
      </c>
      <c r="AT68" s="161">
        <f t="shared" si="80"/>
        <v>0</v>
      </c>
      <c r="AU68" s="161">
        <f t="shared" si="81"/>
        <v>0</v>
      </c>
      <c r="AV68" s="161">
        <f t="shared" si="82"/>
        <v>0</v>
      </c>
      <c r="AW68" s="161">
        <f t="shared" si="83"/>
        <v>0</v>
      </c>
      <c r="AX68" s="161">
        <f t="shared" si="84"/>
        <v>0</v>
      </c>
      <c r="AY68" s="161">
        <f t="shared" si="85"/>
        <v>0</v>
      </c>
      <c r="BD68" s="186" t="str">
        <f t="shared" si="86"/>
        <v xml:space="preserve">3GOV SC </v>
      </c>
      <c r="BE68" s="186">
        <f t="shared" si="87"/>
        <v>3</v>
      </c>
      <c r="BF68" s="209" t="str">
        <f>'Base tabelas'!A47</f>
        <v xml:space="preserve">GOV SC </v>
      </c>
      <c r="BG68" s="209" t="str">
        <f>'Base tabelas'!B47</f>
        <v>745168 - Tabela 3</v>
      </c>
      <c r="BH68" s="209">
        <f>'Base tabelas'!C47</f>
        <v>1.7500000000000002E-2</v>
      </c>
      <c r="BI68" s="209">
        <f>'Base tabelas'!D47</f>
        <v>120</v>
      </c>
      <c r="BJ68" s="209" t="str">
        <f>'Base tabelas'!E47</f>
        <v/>
      </c>
      <c r="BK68" s="209">
        <f>'Base tabelas'!F47</f>
        <v>2.1</v>
      </c>
      <c r="BL68" s="209">
        <f>'Base tabelas'!G47</f>
        <v>10</v>
      </c>
      <c r="BM68" s="209">
        <f>'Base tabelas'!H47</f>
        <v>53</v>
      </c>
      <c r="BN68" s="209" t="str">
        <f>'Base tabelas'!I47</f>
        <v>RFN - GOV. SC DIG 3 PORTAB</v>
      </c>
      <c r="BO68" s="209" t="str">
        <f>'Base tabelas'!J47</f>
        <v>1,3</v>
      </c>
      <c r="BP68" s="209">
        <f>'Base tabelas'!K47</f>
        <v>1.3000000000000001E-2</v>
      </c>
      <c r="BQ68" s="277">
        <f t="shared" si="57"/>
        <v>2.0872135714110097E-2</v>
      </c>
      <c r="BR68" s="278">
        <f t="shared" si="58"/>
        <v>2.1000000000000001E-2</v>
      </c>
      <c r="BS68" s="279">
        <v>2.9999999999999997E-4</v>
      </c>
      <c r="BU68" s="118" t="s">
        <v>219</v>
      </c>
      <c r="BV68" s="161">
        <v>54.666666666666664</v>
      </c>
    </row>
    <row r="69" spans="3:74" hidden="1" x14ac:dyDescent="0.25">
      <c r="C69">
        <v>20</v>
      </c>
      <c r="D69" s="10">
        <f t="shared" ca="1" si="74"/>
        <v>45757</v>
      </c>
      <c r="E69" s="14">
        <f t="shared" ca="1" si="88"/>
        <v>39.314435218311147</v>
      </c>
      <c r="F69" s="14">
        <f t="shared" si="88"/>
        <v>0</v>
      </c>
      <c r="G69" s="14">
        <f t="shared" si="88"/>
        <v>0</v>
      </c>
      <c r="H69" s="14">
        <f t="shared" si="88"/>
        <v>0</v>
      </c>
      <c r="I69" s="14">
        <f t="shared" si="88"/>
        <v>0</v>
      </c>
      <c r="J69" s="14">
        <f t="shared" si="88"/>
        <v>0</v>
      </c>
      <c r="K69" s="14">
        <f t="shared" si="88"/>
        <v>0</v>
      </c>
      <c r="L69" s="14">
        <f t="shared" si="88"/>
        <v>0</v>
      </c>
      <c r="M69" s="14">
        <f t="shared" si="88"/>
        <v>0</v>
      </c>
      <c r="N69" s="14">
        <f t="shared" si="88"/>
        <v>0</v>
      </c>
      <c r="O69" s="224"/>
      <c r="P69" s="284"/>
      <c r="Q69" s="161">
        <v>51</v>
      </c>
      <c r="R69" s="161">
        <f t="shared" si="47"/>
        <v>56.62</v>
      </c>
      <c r="S69" s="161">
        <f t="shared" si="48"/>
        <v>0</v>
      </c>
      <c r="T69" s="161">
        <f t="shared" si="49"/>
        <v>0</v>
      </c>
      <c r="U69" s="161">
        <f t="shared" si="50"/>
        <v>0</v>
      </c>
      <c r="V69" s="161">
        <f t="shared" si="51"/>
        <v>0</v>
      </c>
      <c r="W69" s="161">
        <f t="shared" si="52"/>
        <v>0</v>
      </c>
      <c r="X69" s="161">
        <f t="shared" si="53"/>
        <v>0</v>
      </c>
      <c r="Y69" s="161">
        <f t="shared" si="54"/>
        <v>0</v>
      </c>
      <c r="Z69" s="161">
        <f t="shared" si="55"/>
        <v>0</v>
      </c>
      <c r="AA69" s="161">
        <f t="shared" si="56"/>
        <v>0</v>
      </c>
      <c r="AB69" s="161"/>
      <c r="AC69" s="168">
        <v>51</v>
      </c>
      <c r="AD69" s="213">
        <f t="shared" ca="1" si="39"/>
        <v>46701</v>
      </c>
      <c r="AE69" s="260">
        <f t="shared" si="75"/>
        <v>56.62</v>
      </c>
      <c r="AF69" s="168"/>
      <c r="AG69" s="233">
        <v>51</v>
      </c>
      <c r="AH69" s="213">
        <f t="shared" ca="1" si="40"/>
        <v>46701</v>
      </c>
      <c r="AI69" s="260">
        <f t="shared" ca="1" si="35"/>
        <v>619.79</v>
      </c>
      <c r="AJ69" s="215">
        <f t="shared" ca="1" si="36"/>
        <v>235.85218117953815</v>
      </c>
      <c r="AK69" s="168">
        <v>51</v>
      </c>
      <c r="AL69" s="213">
        <f t="shared" ca="1" si="41"/>
        <v>46701</v>
      </c>
      <c r="AM69" s="260">
        <f t="shared" ca="1" si="37"/>
        <v>676.41</v>
      </c>
      <c r="AO69" s="161">
        <v>51</v>
      </c>
      <c r="AP69" s="117">
        <f t="shared" si="76"/>
        <v>56.62</v>
      </c>
      <c r="AQ69" s="117">
        <f t="shared" si="77"/>
        <v>0</v>
      </c>
      <c r="AR69" s="117">
        <f t="shared" si="78"/>
        <v>0</v>
      </c>
      <c r="AS69" s="161">
        <f t="shared" si="79"/>
        <v>0</v>
      </c>
      <c r="AT69" s="161">
        <f t="shared" si="80"/>
        <v>0</v>
      </c>
      <c r="AU69" s="161">
        <f t="shared" si="81"/>
        <v>0</v>
      </c>
      <c r="AV69" s="161">
        <f t="shared" si="82"/>
        <v>0</v>
      </c>
      <c r="AW69" s="161">
        <f t="shared" si="83"/>
        <v>0</v>
      </c>
      <c r="AX69" s="161">
        <f t="shared" si="84"/>
        <v>0</v>
      </c>
      <c r="AY69" s="161">
        <f t="shared" si="85"/>
        <v>0</v>
      </c>
      <c r="BD69" s="186" t="str">
        <f t="shared" si="86"/>
        <v xml:space="preserve">4GOV SC </v>
      </c>
      <c r="BE69" s="186">
        <f t="shared" si="87"/>
        <v>4</v>
      </c>
      <c r="BF69" s="209" t="str">
        <f>'Base tabelas'!A48</f>
        <v xml:space="preserve">GOV SC </v>
      </c>
      <c r="BG69" s="209" t="str">
        <f>'Base tabelas'!B48</f>
        <v>745169 - Tabela 4</v>
      </c>
      <c r="BH69" s="209">
        <f>'Base tabelas'!C48</f>
        <v>1.7000000000000001E-2</v>
      </c>
      <c r="BI69" s="209">
        <f>'Base tabelas'!D48</f>
        <v>120</v>
      </c>
      <c r="BJ69" s="209" t="str">
        <f>'Base tabelas'!E48</f>
        <v/>
      </c>
      <c r="BK69" s="209">
        <f>'Base tabelas'!F48</f>
        <v>2.1</v>
      </c>
      <c r="BL69" s="209">
        <f>'Base tabelas'!G48</f>
        <v>10</v>
      </c>
      <c r="BM69" s="209">
        <f>'Base tabelas'!H48</f>
        <v>53</v>
      </c>
      <c r="BN69" s="209" t="str">
        <f>'Base tabelas'!I48</f>
        <v>RFN - GOV. SC DIG 4 PORTAB</v>
      </c>
      <c r="BO69" s="209" t="str">
        <f>'Base tabelas'!J48</f>
        <v>1,3</v>
      </c>
      <c r="BP69" s="209">
        <f>'Base tabelas'!K48</f>
        <v>1.3000000000000001E-2</v>
      </c>
      <c r="BQ69" s="277">
        <f t="shared" si="57"/>
        <v>2.0445118940389004E-2</v>
      </c>
      <c r="BR69" s="278">
        <f t="shared" si="58"/>
        <v>2.1000000000000001E-2</v>
      </c>
      <c r="BS69" s="279">
        <v>2.9999999999999997E-4</v>
      </c>
      <c r="BU69" s="118" t="s">
        <v>221</v>
      </c>
      <c r="BV69" s="161">
        <v>44</v>
      </c>
    </row>
    <row r="70" spans="3:74" hidden="1" x14ac:dyDescent="0.25">
      <c r="C70">
        <v>21</v>
      </c>
      <c r="D70" s="10">
        <f t="shared" ca="1" si="74"/>
        <v>45787</v>
      </c>
      <c r="E70" s="14">
        <f t="shared" ref="E70:N79" ca="1" si="89">IF($C70&lt;=E$17,E$18/(($D$48+1)^(($D70-$D$49)/30)),0)</f>
        <v>38.589530880716886</v>
      </c>
      <c r="F70" s="14">
        <f t="shared" si="89"/>
        <v>0</v>
      </c>
      <c r="G70" s="14">
        <f t="shared" si="89"/>
        <v>0</v>
      </c>
      <c r="H70" s="14">
        <f t="shared" si="89"/>
        <v>0</v>
      </c>
      <c r="I70" s="14">
        <f t="shared" si="89"/>
        <v>0</v>
      </c>
      <c r="J70" s="14">
        <f t="shared" si="89"/>
        <v>0</v>
      </c>
      <c r="K70" s="14">
        <f t="shared" si="89"/>
        <v>0</v>
      </c>
      <c r="L70" s="14">
        <f t="shared" si="89"/>
        <v>0</v>
      </c>
      <c r="M70" s="14">
        <f t="shared" si="89"/>
        <v>0</v>
      </c>
      <c r="N70" s="14">
        <f t="shared" si="89"/>
        <v>0</v>
      </c>
      <c r="O70" s="224"/>
      <c r="P70" s="284"/>
      <c r="Q70" s="161">
        <v>52</v>
      </c>
      <c r="R70" s="161">
        <f t="shared" si="47"/>
        <v>56.62</v>
      </c>
      <c r="S70" s="161">
        <f t="shared" si="48"/>
        <v>0</v>
      </c>
      <c r="T70" s="161">
        <f t="shared" si="49"/>
        <v>0</v>
      </c>
      <c r="U70" s="161">
        <f t="shared" si="50"/>
        <v>0</v>
      </c>
      <c r="V70" s="161">
        <f t="shared" si="51"/>
        <v>0</v>
      </c>
      <c r="W70" s="161">
        <f t="shared" si="52"/>
        <v>0</v>
      </c>
      <c r="X70" s="161">
        <f t="shared" si="53"/>
        <v>0</v>
      </c>
      <c r="Y70" s="161">
        <f t="shared" si="54"/>
        <v>0</v>
      </c>
      <c r="Z70" s="161">
        <f t="shared" si="55"/>
        <v>0</v>
      </c>
      <c r="AA70" s="161">
        <f t="shared" si="56"/>
        <v>0</v>
      </c>
      <c r="AB70" s="161"/>
      <c r="AC70" s="168">
        <v>52</v>
      </c>
      <c r="AD70" s="213">
        <f t="shared" ca="1" si="39"/>
        <v>46731</v>
      </c>
      <c r="AE70" s="260">
        <f t="shared" si="75"/>
        <v>56.62</v>
      </c>
      <c r="AF70" s="168"/>
      <c r="AG70" s="233">
        <v>52</v>
      </c>
      <c r="AH70" s="213">
        <f t="shared" ca="1" si="40"/>
        <v>46731</v>
      </c>
      <c r="AI70" s="260">
        <f t="shared" ca="1" si="35"/>
        <v>619.79</v>
      </c>
      <c r="AJ70" s="215">
        <f t="shared" ca="1" si="36"/>
        <v>231.43183316606633</v>
      </c>
      <c r="AK70" s="168">
        <v>52</v>
      </c>
      <c r="AL70" s="213">
        <f t="shared" ca="1" si="41"/>
        <v>46731</v>
      </c>
      <c r="AM70" s="260">
        <f t="shared" ca="1" si="37"/>
        <v>676.41</v>
      </c>
      <c r="AO70" s="161">
        <v>52</v>
      </c>
      <c r="AP70" s="117">
        <f t="shared" si="76"/>
        <v>56.62</v>
      </c>
      <c r="AQ70" s="117">
        <f t="shared" si="77"/>
        <v>0</v>
      </c>
      <c r="AR70" s="117">
        <f t="shared" si="78"/>
        <v>0</v>
      </c>
      <c r="AS70" s="161">
        <f t="shared" si="79"/>
        <v>0</v>
      </c>
      <c r="AT70" s="161">
        <f t="shared" si="80"/>
        <v>0</v>
      </c>
      <c r="AU70" s="161">
        <f t="shared" si="81"/>
        <v>0</v>
      </c>
      <c r="AV70" s="161">
        <f t="shared" si="82"/>
        <v>0</v>
      </c>
      <c r="AW70" s="161">
        <f t="shared" si="83"/>
        <v>0</v>
      </c>
      <c r="AX70" s="161">
        <f t="shared" si="84"/>
        <v>0</v>
      </c>
      <c r="AY70" s="161">
        <f t="shared" si="85"/>
        <v>0</v>
      </c>
      <c r="BD70" s="186" t="str">
        <f t="shared" si="86"/>
        <v>1GOV SP - SEFAZ</v>
      </c>
      <c r="BE70" s="186">
        <f t="shared" si="87"/>
        <v>1</v>
      </c>
      <c r="BF70" s="209" t="str">
        <f>'Base tabelas'!A49</f>
        <v>GOV SP - SEFAZ</v>
      </c>
      <c r="BG70" s="209" t="str">
        <f>'Base tabelas'!B49</f>
        <v>704040 - Tabela 1</v>
      </c>
      <c r="BH70" s="209">
        <f>'Base tabelas'!C49</f>
        <v>2.29E-2</v>
      </c>
      <c r="BI70" s="209">
        <f>'Base tabelas'!D49</f>
        <v>96</v>
      </c>
      <c r="BJ70" s="209" t="str">
        <f>'Base tabelas'!E49</f>
        <v/>
      </c>
      <c r="BK70" s="209">
        <f>'Base tabelas'!F49</f>
        <v>2.29</v>
      </c>
      <c r="BL70" s="209">
        <f>'Base tabelas'!G49</f>
        <v>10</v>
      </c>
      <c r="BM70" s="209">
        <f>'Base tabelas'!H49</f>
        <v>54</v>
      </c>
      <c r="BN70" s="209" t="str">
        <f>'Base tabelas'!I49</f>
        <v>RFN - GOV SP - SEFAZ 1 DIG PORTAB PLUS</v>
      </c>
      <c r="BO70" s="209" t="str">
        <f>'Base tabelas'!J49</f>
        <v>1,44</v>
      </c>
      <c r="BP70" s="209">
        <f>'Base tabelas'!K49</f>
        <v>1.44E-2</v>
      </c>
      <c r="BQ70" s="277">
        <f t="shared" si="57"/>
        <v>2.7105836834839466E-2</v>
      </c>
      <c r="BR70" s="278">
        <f t="shared" si="58"/>
        <v>2.29E-2</v>
      </c>
      <c r="BS70" s="279">
        <v>2.9999999999999997E-4</v>
      </c>
      <c r="BU70" s="118" t="s">
        <v>223</v>
      </c>
      <c r="BV70" s="161">
        <v>50</v>
      </c>
    </row>
    <row r="71" spans="3:74" hidden="1" x14ac:dyDescent="0.25">
      <c r="C71">
        <v>22</v>
      </c>
      <c r="D71" s="10">
        <f t="shared" ca="1" si="74"/>
        <v>45818</v>
      </c>
      <c r="E71" s="14">
        <f t="shared" ca="1" si="89"/>
        <v>37.854502156408472</v>
      </c>
      <c r="F71" s="14">
        <f t="shared" si="89"/>
        <v>0</v>
      </c>
      <c r="G71" s="14">
        <f t="shared" si="89"/>
        <v>0</v>
      </c>
      <c r="H71" s="14">
        <f t="shared" si="89"/>
        <v>0</v>
      </c>
      <c r="I71" s="14">
        <f t="shared" si="89"/>
        <v>0</v>
      </c>
      <c r="J71" s="14">
        <f t="shared" si="89"/>
        <v>0</v>
      </c>
      <c r="K71" s="14">
        <f t="shared" si="89"/>
        <v>0</v>
      </c>
      <c r="L71" s="14">
        <f t="shared" si="89"/>
        <v>0</v>
      </c>
      <c r="M71" s="14">
        <f t="shared" si="89"/>
        <v>0</v>
      </c>
      <c r="N71" s="14">
        <f t="shared" si="89"/>
        <v>0</v>
      </c>
      <c r="O71" s="224"/>
      <c r="P71" s="284"/>
      <c r="Q71" s="161">
        <v>53</v>
      </c>
      <c r="R71" s="161">
        <f t="shared" si="47"/>
        <v>56.62</v>
      </c>
      <c r="S71" s="161">
        <f t="shared" si="48"/>
        <v>0</v>
      </c>
      <c r="T71" s="161">
        <f t="shared" si="49"/>
        <v>0</v>
      </c>
      <c r="U71" s="161">
        <f t="shared" si="50"/>
        <v>0</v>
      </c>
      <c r="V71" s="161">
        <f t="shared" si="51"/>
        <v>0</v>
      </c>
      <c r="W71" s="161">
        <f t="shared" si="52"/>
        <v>0</v>
      </c>
      <c r="X71" s="161">
        <f t="shared" si="53"/>
        <v>0</v>
      </c>
      <c r="Y71" s="161">
        <f t="shared" si="54"/>
        <v>0</v>
      </c>
      <c r="Z71" s="161">
        <f t="shared" si="55"/>
        <v>0</v>
      </c>
      <c r="AA71" s="161">
        <f t="shared" si="56"/>
        <v>0</v>
      </c>
      <c r="AB71" s="161"/>
      <c r="AC71" s="168">
        <v>53</v>
      </c>
      <c r="AD71" s="213">
        <f t="shared" ca="1" si="39"/>
        <v>46762</v>
      </c>
      <c r="AE71" s="260">
        <f t="shared" si="75"/>
        <v>56.62</v>
      </c>
      <c r="AF71" s="168"/>
      <c r="AG71" s="233">
        <v>53</v>
      </c>
      <c r="AH71" s="213">
        <f t="shared" ca="1" si="40"/>
        <v>46762</v>
      </c>
      <c r="AI71" s="260">
        <f t="shared" ca="1" si="35"/>
        <v>619.79</v>
      </c>
      <c r="AJ71" s="215">
        <f t="shared" ca="1" si="36"/>
        <v>226.95115663452282</v>
      </c>
      <c r="AK71" s="168">
        <v>53</v>
      </c>
      <c r="AL71" s="213">
        <f t="shared" ca="1" si="41"/>
        <v>46762</v>
      </c>
      <c r="AM71" s="260">
        <f t="shared" ca="1" si="37"/>
        <v>676.41</v>
      </c>
      <c r="AO71" s="161">
        <v>53</v>
      </c>
      <c r="AP71" s="117">
        <f t="shared" si="76"/>
        <v>56.62</v>
      </c>
      <c r="AQ71" s="117">
        <f t="shared" si="77"/>
        <v>0</v>
      </c>
      <c r="AR71" s="117">
        <f t="shared" si="78"/>
        <v>0</v>
      </c>
      <c r="AS71" s="161">
        <f t="shared" si="79"/>
        <v>0</v>
      </c>
      <c r="AT71" s="161">
        <f t="shared" si="80"/>
        <v>0</v>
      </c>
      <c r="AU71" s="161">
        <f t="shared" si="81"/>
        <v>0</v>
      </c>
      <c r="AV71" s="161">
        <f t="shared" si="82"/>
        <v>0</v>
      </c>
      <c r="AW71" s="161">
        <f t="shared" si="83"/>
        <v>0</v>
      </c>
      <c r="AX71" s="161">
        <f t="shared" si="84"/>
        <v>0</v>
      </c>
      <c r="AY71" s="161">
        <f t="shared" si="85"/>
        <v>0</v>
      </c>
      <c r="BD71" s="186" t="str">
        <f t="shared" si="86"/>
        <v>2GOV SP - SEFAZ</v>
      </c>
      <c r="BE71" s="186">
        <f t="shared" si="87"/>
        <v>2</v>
      </c>
      <c r="BF71" s="209" t="str">
        <f>'Base tabelas'!A50</f>
        <v>GOV SP - SEFAZ</v>
      </c>
      <c r="BG71" s="209" t="str">
        <f>'Base tabelas'!B50</f>
        <v>704042 - Tabela 2</v>
      </c>
      <c r="BH71" s="209">
        <f>'Base tabelas'!C50</f>
        <v>2.1899999999999999E-2</v>
      </c>
      <c r="BI71" s="209">
        <f>'Base tabelas'!D50</f>
        <v>96</v>
      </c>
      <c r="BJ71" s="209" t="str">
        <f>'Base tabelas'!E50</f>
        <v/>
      </c>
      <c r="BK71" s="209">
        <f>'Base tabelas'!F50</f>
        <v>2.29</v>
      </c>
      <c r="BL71" s="209">
        <f>'Base tabelas'!G50</f>
        <v>10</v>
      </c>
      <c r="BM71" s="209">
        <f>'Base tabelas'!H50</f>
        <v>41</v>
      </c>
      <c r="BN71" s="209" t="str">
        <f>'Base tabelas'!I50</f>
        <v>RFN - GOV SP - SEFAZ 2 DIG PORTAB PLUS</v>
      </c>
      <c r="BO71" s="209" t="str">
        <f>'Base tabelas'!J50</f>
        <v>1,44</v>
      </c>
      <c r="BP71" s="209">
        <f>'Base tabelas'!K50</f>
        <v>1.44E-2</v>
      </c>
      <c r="BQ71" s="277">
        <f t="shared" si="57"/>
        <v>2.5988313099792909E-2</v>
      </c>
      <c r="BR71" s="278">
        <f t="shared" si="58"/>
        <v>2.29E-2</v>
      </c>
      <c r="BS71" s="279">
        <v>2.9999999999999997E-4</v>
      </c>
      <c r="BU71" s="118" t="s">
        <v>499</v>
      </c>
      <c r="BV71" s="161">
        <v>61</v>
      </c>
    </row>
    <row r="72" spans="3:74" hidden="1" x14ac:dyDescent="0.25">
      <c r="C72">
        <v>23</v>
      </c>
      <c r="D72" s="10">
        <f t="shared" ca="1" si="74"/>
        <v>45848</v>
      </c>
      <c r="E72" s="14">
        <f t="shared" ca="1" si="89"/>
        <v>37.156516984848103</v>
      </c>
      <c r="F72" s="14">
        <f t="shared" si="89"/>
        <v>0</v>
      </c>
      <c r="G72" s="14">
        <f t="shared" si="89"/>
        <v>0</v>
      </c>
      <c r="H72" s="14">
        <f t="shared" si="89"/>
        <v>0</v>
      </c>
      <c r="I72" s="14">
        <f t="shared" si="89"/>
        <v>0</v>
      </c>
      <c r="J72" s="14">
        <f t="shared" si="89"/>
        <v>0</v>
      </c>
      <c r="K72" s="14">
        <f t="shared" si="89"/>
        <v>0</v>
      </c>
      <c r="L72" s="14">
        <f t="shared" si="89"/>
        <v>0</v>
      </c>
      <c r="M72" s="14">
        <f t="shared" si="89"/>
        <v>0</v>
      </c>
      <c r="N72" s="14">
        <f t="shared" si="89"/>
        <v>0</v>
      </c>
      <c r="O72" s="224"/>
      <c r="P72" s="284"/>
      <c r="Q72" s="161">
        <v>54</v>
      </c>
      <c r="R72" s="161">
        <f t="shared" si="47"/>
        <v>56.62</v>
      </c>
      <c r="S72" s="161">
        <f t="shared" si="48"/>
        <v>0</v>
      </c>
      <c r="T72" s="161">
        <f t="shared" si="49"/>
        <v>0</v>
      </c>
      <c r="U72" s="161">
        <f t="shared" si="50"/>
        <v>0</v>
      </c>
      <c r="V72" s="161">
        <f t="shared" si="51"/>
        <v>0</v>
      </c>
      <c r="W72" s="161">
        <f t="shared" si="52"/>
        <v>0</v>
      </c>
      <c r="X72" s="161">
        <f t="shared" si="53"/>
        <v>0</v>
      </c>
      <c r="Y72" s="161">
        <f t="shared" si="54"/>
        <v>0</v>
      </c>
      <c r="Z72" s="161">
        <f t="shared" si="55"/>
        <v>0</v>
      </c>
      <c r="AA72" s="161">
        <f t="shared" si="56"/>
        <v>0</v>
      </c>
      <c r="AB72" s="161"/>
      <c r="AC72" s="168">
        <v>54</v>
      </c>
      <c r="AD72" s="213">
        <f t="shared" ca="1" si="39"/>
        <v>46793</v>
      </c>
      <c r="AE72" s="260">
        <f t="shared" si="75"/>
        <v>56.62</v>
      </c>
      <c r="AF72" s="168"/>
      <c r="AG72" s="233">
        <v>54</v>
      </c>
      <c r="AH72" s="213">
        <f t="shared" ca="1" si="40"/>
        <v>46793</v>
      </c>
      <c r="AI72" s="260">
        <f t="shared" ca="1" si="35"/>
        <v>619.79</v>
      </c>
      <c r="AJ72" s="215">
        <f t="shared" ca="1" si="36"/>
        <v>222.55722902556997</v>
      </c>
      <c r="AK72" s="168">
        <v>54</v>
      </c>
      <c r="AL72" s="213">
        <f t="shared" ca="1" si="41"/>
        <v>46793</v>
      </c>
      <c r="AM72" s="260">
        <f t="shared" ca="1" si="37"/>
        <v>676.41</v>
      </c>
      <c r="AO72" s="161">
        <v>54</v>
      </c>
      <c r="AP72" s="117">
        <f t="shared" si="76"/>
        <v>56.62</v>
      </c>
      <c r="AQ72" s="117">
        <f t="shared" si="77"/>
        <v>0</v>
      </c>
      <c r="AR72" s="117">
        <f t="shared" si="78"/>
        <v>0</v>
      </c>
      <c r="AS72" s="161">
        <f t="shared" si="79"/>
        <v>0</v>
      </c>
      <c r="AT72" s="161">
        <f t="shared" si="80"/>
        <v>0</v>
      </c>
      <c r="AU72" s="161">
        <f t="shared" si="81"/>
        <v>0</v>
      </c>
      <c r="AV72" s="161">
        <f t="shared" si="82"/>
        <v>0</v>
      </c>
      <c r="AW72" s="161">
        <f t="shared" si="83"/>
        <v>0</v>
      </c>
      <c r="AX72" s="161">
        <f t="shared" si="84"/>
        <v>0</v>
      </c>
      <c r="AY72" s="161">
        <f t="shared" si="85"/>
        <v>0</v>
      </c>
      <c r="BD72" s="186" t="str">
        <f t="shared" si="86"/>
        <v>3GOV SP - SEFAZ</v>
      </c>
      <c r="BE72" s="186">
        <f t="shared" si="87"/>
        <v>3</v>
      </c>
      <c r="BF72" s="209" t="str">
        <f>'Base tabelas'!A51</f>
        <v>GOV SP - SEFAZ</v>
      </c>
      <c r="BG72" s="209" t="str">
        <f>'Base tabelas'!B51</f>
        <v>704043 - Tabela 3</v>
      </c>
      <c r="BH72" s="209">
        <f>'Base tabelas'!C51</f>
        <v>2.0899999999999998E-2</v>
      </c>
      <c r="BI72" s="209">
        <f>'Base tabelas'!D51</f>
        <v>96</v>
      </c>
      <c r="BJ72" s="209" t="str">
        <f>'Base tabelas'!E51</f>
        <v/>
      </c>
      <c r="BK72" s="209">
        <f>'Base tabelas'!F51</f>
        <v>2.29</v>
      </c>
      <c r="BL72" s="209">
        <f>'Base tabelas'!G51</f>
        <v>10</v>
      </c>
      <c r="BM72" s="209">
        <f>'Base tabelas'!H51</f>
        <v>44</v>
      </c>
      <c r="BN72" s="209" t="str">
        <f>'Base tabelas'!I51</f>
        <v>RFN - GOV SP - SEFAZ 3 DIG PORTAB PLUS</v>
      </c>
      <c r="BO72" s="209" t="str">
        <f>'Base tabelas'!J51</f>
        <v>1,44</v>
      </c>
      <c r="BP72" s="209">
        <f>'Base tabelas'!K51</f>
        <v>1.44E-2</v>
      </c>
      <c r="BQ72" s="277">
        <f t="shared" si="57"/>
        <v>2.5198709611198428E-2</v>
      </c>
      <c r="BR72" s="278">
        <f t="shared" si="58"/>
        <v>2.29E-2</v>
      </c>
      <c r="BS72" s="279">
        <v>2.9999999999999997E-4</v>
      </c>
      <c r="BU72" s="118" t="s">
        <v>502</v>
      </c>
      <c r="BV72" s="161">
        <v>50</v>
      </c>
    </row>
    <row r="73" spans="3:74" hidden="1" x14ac:dyDescent="0.25">
      <c r="C73">
        <v>24</v>
      </c>
      <c r="D73" s="10">
        <f t="shared" ca="1" si="74"/>
        <v>45879</v>
      </c>
      <c r="E73" s="14">
        <f t="shared" ca="1" si="89"/>
        <v>36.448783393487865</v>
      </c>
      <c r="F73" s="14">
        <f t="shared" si="89"/>
        <v>0</v>
      </c>
      <c r="G73" s="14">
        <f t="shared" si="89"/>
        <v>0</v>
      </c>
      <c r="H73" s="14">
        <f t="shared" si="89"/>
        <v>0</v>
      </c>
      <c r="I73" s="14">
        <f t="shared" si="89"/>
        <v>0</v>
      </c>
      <c r="J73" s="14">
        <f t="shared" si="89"/>
        <v>0</v>
      </c>
      <c r="K73" s="14">
        <f t="shared" si="89"/>
        <v>0</v>
      </c>
      <c r="L73" s="14">
        <f t="shared" si="89"/>
        <v>0</v>
      </c>
      <c r="M73" s="14">
        <f t="shared" si="89"/>
        <v>0</v>
      </c>
      <c r="N73" s="14">
        <f t="shared" si="89"/>
        <v>0</v>
      </c>
      <c r="O73" s="224"/>
      <c r="P73" s="284"/>
      <c r="Q73" s="161">
        <v>55</v>
      </c>
      <c r="R73" s="161">
        <f t="shared" si="47"/>
        <v>56.62</v>
      </c>
      <c r="S73" s="161">
        <f t="shared" si="48"/>
        <v>0</v>
      </c>
      <c r="T73" s="161">
        <f t="shared" si="49"/>
        <v>0</v>
      </c>
      <c r="U73" s="161">
        <f t="shared" si="50"/>
        <v>0</v>
      </c>
      <c r="V73" s="161">
        <f t="shared" si="51"/>
        <v>0</v>
      </c>
      <c r="W73" s="161">
        <f t="shared" si="52"/>
        <v>0</v>
      </c>
      <c r="X73" s="161">
        <f t="shared" si="53"/>
        <v>0</v>
      </c>
      <c r="Y73" s="161">
        <f t="shared" si="54"/>
        <v>0</v>
      </c>
      <c r="Z73" s="161">
        <f t="shared" si="55"/>
        <v>0</v>
      </c>
      <c r="AA73" s="161">
        <f t="shared" si="56"/>
        <v>0</v>
      </c>
      <c r="AB73" s="161"/>
      <c r="AC73" s="168">
        <v>55</v>
      </c>
      <c r="AD73" s="213">
        <f t="shared" ca="1" si="39"/>
        <v>46822</v>
      </c>
      <c r="AE73" s="260">
        <f t="shared" si="75"/>
        <v>56.62</v>
      </c>
      <c r="AF73" s="168"/>
      <c r="AG73" s="233">
        <v>55</v>
      </c>
      <c r="AH73" s="213">
        <f t="shared" ca="1" si="40"/>
        <v>46822</v>
      </c>
      <c r="AI73" s="260">
        <f t="shared" ca="1" si="35"/>
        <v>619.79</v>
      </c>
      <c r="AJ73" s="215">
        <f t="shared" ca="1" si="36"/>
        <v>218.52382677449171</v>
      </c>
      <c r="AK73" s="168">
        <v>55</v>
      </c>
      <c r="AL73" s="213">
        <f t="shared" ca="1" si="41"/>
        <v>46822</v>
      </c>
      <c r="AM73" s="260">
        <f t="shared" ca="1" si="37"/>
        <v>676.41</v>
      </c>
      <c r="AO73" s="161">
        <v>55</v>
      </c>
      <c r="AP73" s="117">
        <f t="shared" si="76"/>
        <v>56.62</v>
      </c>
      <c r="AQ73" s="117">
        <f t="shared" si="77"/>
        <v>0</v>
      </c>
      <c r="AR73" s="117">
        <f t="shared" si="78"/>
        <v>0</v>
      </c>
      <c r="AS73" s="161">
        <f t="shared" si="79"/>
        <v>0</v>
      </c>
      <c r="AT73" s="161">
        <f t="shared" si="80"/>
        <v>0</v>
      </c>
      <c r="AU73" s="161">
        <f t="shared" si="81"/>
        <v>0</v>
      </c>
      <c r="AV73" s="161">
        <f t="shared" si="82"/>
        <v>0</v>
      </c>
      <c r="AW73" s="161">
        <f t="shared" si="83"/>
        <v>0</v>
      </c>
      <c r="AX73" s="161">
        <f t="shared" si="84"/>
        <v>0</v>
      </c>
      <c r="AY73" s="161">
        <f t="shared" si="85"/>
        <v>0</v>
      </c>
      <c r="BD73" s="186" t="str">
        <f t="shared" si="86"/>
        <v>4GOV SP - SEFAZ</v>
      </c>
      <c r="BE73" s="186">
        <f t="shared" si="87"/>
        <v>4</v>
      </c>
      <c r="BF73" s="209" t="str">
        <f>'Base tabelas'!A52</f>
        <v>GOV SP - SEFAZ</v>
      </c>
      <c r="BG73" s="209" t="str">
        <f>'Base tabelas'!B52</f>
        <v>704044 - Tabela 4</v>
      </c>
      <c r="BH73" s="209">
        <f>'Base tabelas'!C52</f>
        <v>1.9900000000000001E-2</v>
      </c>
      <c r="BI73" s="209">
        <f>'Base tabelas'!D52</f>
        <v>96</v>
      </c>
      <c r="BJ73" s="209" t="str">
        <f>'Base tabelas'!E52</f>
        <v/>
      </c>
      <c r="BK73" s="209">
        <f>'Base tabelas'!F52</f>
        <v>2.29</v>
      </c>
      <c r="BL73" s="209">
        <f>'Base tabelas'!G52</f>
        <v>10</v>
      </c>
      <c r="BM73" s="209">
        <f>'Base tabelas'!H52</f>
        <v>42</v>
      </c>
      <c r="BN73" s="209" t="str">
        <f>'Base tabelas'!I52</f>
        <v>RFN - GOV SP - SEFAZ 4 DIG PORTAB PLUS</v>
      </c>
      <c r="BO73" s="209" t="str">
        <f>'Base tabelas'!J52</f>
        <v>1,44</v>
      </c>
      <c r="BP73" s="209">
        <f>'Base tabelas'!K52</f>
        <v>1.44E-2</v>
      </c>
      <c r="BQ73" s="277">
        <f t="shared" si="57"/>
        <v>2.4332539141167741E-2</v>
      </c>
      <c r="BR73" s="278">
        <f t="shared" si="58"/>
        <v>2.29E-2</v>
      </c>
      <c r="BS73" s="279">
        <v>2.9999999999999997E-4</v>
      </c>
      <c r="BU73" s="118" t="s">
        <v>95</v>
      </c>
      <c r="BV73" s="161">
        <v>57</v>
      </c>
    </row>
    <row r="74" spans="3:74" hidden="1" x14ac:dyDescent="0.25">
      <c r="C74">
        <v>25</v>
      </c>
      <c r="D74" s="10">
        <f t="shared" ca="1" si="74"/>
        <v>45910</v>
      </c>
      <c r="E74" s="14">
        <f t="shared" ca="1" si="89"/>
        <v>35.754530259312126</v>
      </c>
      <c r="F74" s="14">
        <f t="shared" si="89"/>
        <v>0</v>
      </c>
      <c r="G74" s="14">
        <f t="shared" si="89"/>
        <v>0</v>
      </c>
      <c r="H74" s="14">
        <f t="shared" si="89"/>
        <v>0</v>
      </c>
      <c r="I74" s="14">
        <f t="shared" si="89"/>
        <v>0</v>
      </c>
      <c r="J74" s="14">
        <f t="shared" si="89"/>
        <v>0</v>
      </c>
      <c r="K74" s="14">
        <f t="shared" si="89"/>
        <v>0</v>
      </c>
      <c r="L74" s="14">
        <f t="shared" si="89"/>
        <v>0</v>
      </c>
      <c r="M74" s="14">
        <f t="shared" si="89"/>
        <v>0</v>
      </c>
      <c r="N74" s="14">
        <f t="shared" si="89"/>
        <v>0</v>
      </c>
      <c r="O74" s="224"/>
      <c r="P74" s="284"/>
      <c r="Q74" s="161">
        <v>56</v>
      </c>
      <c r="R74" s="161">
        <f t="shared" si="47"/>
        <v>56.62</v>
      </c>
      <c r="S74" s="161">
        <f t="shared" si="48"/>
        <v>0</v>
      </c>
      <c r="T74" s="161">
        <f t="shared" si="49"/>
        <v>0</v>
      </c>
      <c r="U74" s="161">
        <f t="shared" si="50"/>
        <v>0</v>
      </c>
      <c r="V74" s="161">
        <f t="shared" si="51"/>
        <v>0</v>
      </c>
      <c r="W74" s="161">
        <f t="shared" si="52"/>
        <v>0</v>
      </c>
      <c r="X74" s="161">
        <f t="shared" si="53"/>
        <v>0</v>
      </c>
      <c r="Y74" s="161">
        <f t="shared" si="54"/>
        <v>0</v>
      </c>
      <c r="Z74" s="161">
        <f t="shared" si="55"/>
        <v>0</v>
      </c>
      <c r="AA74" s="161">
        <f t="shared" si="56"/>
        <v>0</v>
      </c>
      <c r="AB74" s="161"/>
      <c r="AC74" s="168">
        <v>56</v>
      </c>
      <c r="AD74" s="213">
        <f t="shared" ca="1" si="39"/>
        <v>46853</v>
      </c>
      <c r="AE74" s="260">
        <f t="shared" si="75"/>
        <v>56.62</v>
      </c>
      <c r="AF74" s="168"/>
      <c r="AG74" s="233">
        <v>56</v>
      </c>
      <c r="AH74" s="213">
        <f t="shared" ca="1" si="40"/>
        <v>46853</v>
      </c>
      <c r="AI74" s="260">
        <f t="shared" ca="1" si="35"/>
        <v>619.79</v>
      </c>
      <c r="AJ74" s="215">
        <f t="shared" ca="1" si="36"/>
        <v>214.29305796098558</v>
      </c>
      <c r="AK74" s="168">
        <v>56</v>
      </c>
      <c r="AL74" s="213">
        <f t="shared" ca="1" si="41"/>
        <v>46853</v>
      </c>
      <c r="AM74" s="260">
        <f t="shared" ca="1" si="37"/>
        <v>676.41</v>
      </c>
      <c r="AO74" s="161">
        <v>56</v>
      </c>
      <c r="AP74" s="117">
        <f t="shared" si="76"/>
        <v>56.62</v>
      </c>
      <c r="AQ74" s="117">
        <f t="shared" si="77"/>
        <v>0</v>
      </c>
      <c r="AR74" s="117">
        <f t="shared" si="78"/>
        <v>0</v>
      </c>
      <c r="AS74" s="161">
        <f t="shared" si="79"/>
        <v>0</v>
      </c>
      <c r="AT74" s="161">
        <f t="shared" si="80"/>
        <v>0</v>
      </c>
      <c r="AU74" s="161">
        <f t="shared" si="81"/>
        <v>0</v>
      </c>
      <c r="AV74" s="161">
        <f t="shared" si="82"/>
        <v>0</v>
      </c>
      <c r="AW74" s="161">
        <f t="shared" si="83"/>
        <v>0</v>
      </c>
      <c r="AX74" s="161">
        <f t="shared" si="84"/>
        <v>0</v>
      </c>
      <c r="AY74" s="161">
        <f t="shared" si="85"/>
        <v>0</v>
      </c>
      <c r="BD74" s="186" t="str">
        <f t="shared" si="86"/>
        <v>5GOV SP - SEFAZ</v>
      </c>
      <c r="BE74" s="186">
        <f t="shared" si="87"/>
        <v>5</v>
      </c>
      <c r="BF74" s="209" t="str">
        <f>'Base tabelas'!A53</f>
        <v>GOV SP - SEFAZ</v>
      </c>
      <c r="BG74" s="209" t="str">
        <f>'Base tabelas'!B53</f>
        <v>704045 - Tabela 5</v>
      </c>
      <c r="BH74" s="209">
        <f>'Base tabelas'!C53</f>
        <v>1.8500000000000003E-2</v>
      </c>
      <c r="BI74" s="209">
        <f>'Base tabelas'!D53</f>
        <v>96</v>
      </c>
      <c r="BJ74" s="209" t="str">
        <f>'Base tabelas'!E53</f>
        <v/>
      </c>
      <c r="BK74" s="209">
        <f>'Base tabelas'!F53</f>
        <v>2.29</v>
      </c>
      <c r="BL74" s="209">
        <f>'Base tabelas'!G53</f>
        <v>10</v>
      </c>
      <c r="BM74" s="209">
        <f>'Base tabelas'!H53</f>
        <v>46</v>
      </c>
      <c r="BN74" s="209" t="str">
        <f>'Base tabelas'!I53</f>
        <v>RFN - GOV SP - SEFAZ 5 DIG PORTAB PLUS</v>
      </c>
      <c r="BO74" s="209" t="str">
        <f>'Base tabelas'!J53</f>
        <v>1,44</v>
      </c>
      <c r="BP74" s="209">
        <f>'Base tabelas'!K53</f>
        <v>1.44E-2</v>
      </c>
      <c r="BQ74" s="277">
        <f t="shared" si="57"/>
        <v>2.3245575330762498E-2</v>
      </c>
      <c r="BR74" s="278">
        <f t="shared" si="58"/>
        <v>2.29E-2</v>
      </c>
      <c r="BS74" s="279">
        <v>2.9999999999999997E-4</v>
      </c>
      <c r="BU74" s="118" t="s">
        <v>436</v>
      </c>
      <c r="BV74" s="161">
        <v>86.5</v>
      </c>
    </row>
    <row r="75" spans="3:74" hidden="1" x14ac:dyDescent="0.25">
      <c r="C75">
        <v>26</v>
      </c>
      <c r="D75" s="10">
        <f t="shared" ca="1" si="74"/>
        <v>45940</v>
      </c>
      <c r="E75" s="14">
        <f t="shared" ca="1" si="89"/>
        <v>35.09526569326416</v>
      </c>
      <c r="F75" s="14">
        <f t="shared" si="89"/>
        <v>0</v>
      </c>
      <c r="G75" s="14">
        <f t="shared" si="89"/>
        <v>0</v>
      </c>
      <c r="H75" s="14">
        <f t="shared" si="89"/>
        <v>0</v>
      </c>
      <c r="I75" s="14">
        <f t="shared" si="89"/>
        <v>0</v>
      </c>
      <c r="J75" s="14">
        <f t="shared" si="89"/>
        <v>0</v>
      </c>
      <c r="K75" s="14">
        <f t="shared" si="89"/>
        <v>0</v>
      </c>
      <c r="L75" s="14">
        <f t="shared" si="89"/>
        <v>0</v>
      </c>
      <c r="M75" s="14">
        <f t="shared" si="89"/>
        <v>0</v>
      </c>
      <c r="N75" s="14">
        <f t="shared" si="89"/>
        <v>0</v>
      </c>
      <c r="O75" s="224"/>
      <c r="P75" s="284"/>
      <c r="Q75" s="161">
        <v>57</v>
      </c>
      <c r="R75" s="161">
        <f t="shared" si="47"/>
        <v>56.62</v>
      </c>
      <c r="S75" s="161">
        <f t="shared" si="48"/>
        <v>0</v>
      </c>
      <c r="T75" s="161">
        <f t="shared" si="49"/>
        <v>0</v>
      </c>
      <c r="U75" s="161">
        <f t="shared" si="50"/>
        <v>0</v>
      </c>
      <c r="V75" s="161">
        <f t="shared" si="51"/>
        <v>0</v>
      </c>
      <c r="W75" s="161">
        <f t="shared" si="52"/>
        <v>0</v>
      </c>
      <c r="X75" s="161">
        <f t="shared" si="53"/>
        <v>0</v>
      </c>
      <c r="Y75" s="161">
        <f t="shared" si="54"/>
        <v>0</v>
      </c>
      <c r="Z75" s="161">
        <f t="shared" si="55"/>
        <v>0</v>
      </c>
      <c r="AA75" s="161">
        <f t="shared" si="56"/>
        <v>0</v>
      </c>
      <c r="AB75" s="161"/>
      <c r="AC75" s="168">
        <v>57</v>
      </c>
      <c r="AD75" s="213">
        <f t="shared" ca="1" si="39"/>
        <v>46883</v>
      </c>
      <c r="AE75" s="260">
        <f t="shared" si="75"/>
        <v>56.62</v>
      </c>
      <c r="AF75" s="168"/>
      <c r="AG75" s="233">
        <v>57</v>
      </c>
      <c r="AH75" s="213">
        <f t="shared" ca="1" si="40"/>
        <v>46883</v>
      </c>
      <c r="AI75" s="260">
        <f t="shared" ca="1" si="35"/>
        <v>619.79</v>
      </c>
      <c r="AJ75" s="215">
        <f t="shared" ca="1" si="36"/>
        <v>210.27677162298659</v>
      </c>
      <c r="AK75" s="168">
        <v>57</v>
      </c>
      <c r="AL75" s="213">
        <f t="shared" ca="1" si="41"/>
        <v>46883</v>
      </c>
      <c r="AM75" s="260">
        <f t="shared" ca="1" si="37"/>
        <v>676.41</v>
      </c>
      <c r="AO75" s="161">
        <v>57</v>
      </c>
      <c r="AP75" s="117">
        <f t="shared" si="76"/>
        <v>56.62</v>
      </c>
      <c r="AQ75" s="117">
        <f t="shared" si="77"/>
        <v>0</v>
      </c>
      <c r="AR75" s="117">
        <f t="shared" si="78"/>
        <v>0</v>
      </c>
      <c r="AS75" s="161">
        <f t="shared" si="79"/>
        <v>0</v>
      </c>
      <c r="AT75" s="161">
        <f t="shared" si="80"/>
        <v>0</v>
      </c>
      <c r="AU75" s="161">
        <f t="shared" si="81"/>
        <v>0</v>
      </c>
      <c r="AV75" s="161">
        <f t="shared" si="82"/>
        <v>0</v>
      </c>
      <c r="AW75" s="161">
        <f t="shared" si="83"/>
        <v>0</v>
      </c>
      <c r="AX75" s="161">
        <f t="shared" si="84"/>
        <v>0</v>
      </c>
      <c r="AY75" s="161">
        <f t="shared" si="85"/>
        <v>0</v>
      </c>
      <c r="BD75" s="186" t="str">
        <f t="shared" si="86"/>
        <v>1GOV SP - SPPREV</v>
      </c>
      <c r="BE75" s="186">
        <f t="shared" si="87"/>
        <v>1</v>
      </c>
      <c r="BF75" s="209" t="str">
        <f>'Base tabelas'!A54</f>
        <v>GOV SP - SPPREV</v>
      </c>
      <c r="BG75" s="209" t="str">
        <f>'Base tabelas'!B54</f>
        <v>774028 - Tabela 1</v>
      </c>
      <c r="BH75" s="209">
        <f>'Base tabelas'!C54</f>
        <v>2.29E-2</v>
      </c>
      <c r="BI75" s="209">
        <f>'Base tabelas'!D54</f>
        <v>96</v>
      </c>
      <c r="BJ75" s="209" t="str">
        <f>'Base tabelas'!E54</f>
        <v/>
      </c>
      <c r="BK75" s="209">
        <f>'Base tabelas'!F54</f>
        <v>2.29</v>
      </c>
      <c r="BL75" s="209">
        <f>'Base tabelas'!G54</f>
        <v>10</v>
      </c>
      <c r="BM75" s="209">
        <f>'Base tabelas'!H54</f>
        <v>49</v>
      </c>
      <c r="BN75" s="209" t="str">
        <f>'Base tabelas'!I54</f>
        <v>RFN - GOV SP - SPPREV 1 DIG PORTAB PLUS</v>
      </c>
      <c r="BO75" s="209" t="str">
        <f>'Base tabelas'!J54</f>
        <v>1,44</v>
      </c>
      <c r="BP75" s="209">
        <f>'Base tabelas'!K54</f>
        <v>1.44E-2</v>
      </c>
      <c r="BQ75" s="277">
        <f t="shared" si="57"/>
        <v>2.7003742413512367E-2</v>
      </c>
      <c r="BR75" s="278">
        <f t="shared" si="58"/>
        <v>2.29E-2</v>
      </c>
      <c r="BS75" s="279">
        <v>2.9999999999999997E-4</v>
      </c>
      <c r="BU75" s="118" t="s">
        <v>506</v>
      </c>
      <c r="BV75" s="161">
        <v>50</v>
      </c>
    </row>
    <row r="76" spans="3:74" hidden="1" x14ac:dyDescent="0.25">
      <c r="C76">
        <v>27</v>
      </c>
      <c r="D76" s="10">
        <f t="shared" ca="1" si="74"/>
        <v>45971</v>
      </c>
      <c r="E76" s="14">
        <f t="shared" ca="1" si="89"/>
        <v>34.426793499302484</v>
      </c>
      <c r="F76" s="14">
        <f t="shared" si="89"/>
        <v>0</v>
      </c>
      <c r="G76" s="14">
        <f t="shared" si="89"/>
        <v>0</v>
      </c>
      <c r="H76" s="14">
        <f t="shared" si="89"/>
        <v>0</v>
      </c>
      <c r="I76" s="14">
        <f t="shared" si="89"/>
        <v>0</v>
      </c>
      <c r="J76" s="14">
        <f t="shared" si="89"/>
        <v>0</v>
      </c>
      <c r="K76" s="14">
        <f t="shared" si="89"/>
        <v>0</v>
      </c>
      <c r="L76" s="14">
        <f t="shared" si="89"/>
        <v>0</v>
      </c>
      <c r="M76" s="14">
        <f t="shared" si="89"/>
        <v>0</v>
      </c>
      <c r="N76" s="14">
        <f t="shared" si="89"/>
        <v>0</v>
      </c>
      <c r="O76" s="224"/>
      <c r="P76" s="284"/>
      <c r="Q76" s="161">
        <v>58</v>
      </c>
      <c r="R76" s="161">
        <f t="shared" si="47"/>
        <v>56.62</v>
      </c>
      <c r="S76" s="161">
        <f t="shared" si="48"/>
        <v>0</v>
      </c>
      <c r="T76" s="161">
        <f t="shared" si="49"/>
        <v>0</v>
      </c>
      <c r="U76" s="161">
        <f t="shared" si="50"/>
        <v>0</v>
      </c>
      <c r="V76" s="161">
        <f t="shared" si="51"/>
        <v>0</v>
      </c>
      <c r="W76" s="161">
        <f t="shared" si="52"/>
        <v>0</v>
      </c>
      <c r="X76" s="161">
        <f t="shared" si="53"/>
        <v>0</v>
      </c>
      <c r="Y76" s="161">
        <f t="shared" si="54"/>
        <v>0</v>
      </c>
      <c r="Z76" s="161">
        <f t="shared" si="55"/>
        <v>0</v>
      </c>
      <c r="AA76" s="161">
        <f t="shared" si="56"/>
        <v>0</v>
      </c>
      <c r="AB76" s="161"/>
      <c r="AC76" s="168">
        <v>58</v>
      </c>
      <c r="AD76" s="213">
        <f t="shared" ca="1" si="39"/>
        <v>46914</v>
      </c>
      <c r="AE76" s="260">
        <f t="shared" si="75"/>
        <v>56.62</v>
      </c>
      <c r="AF76" s="168"/>
      <c r="AG76" s="233">
        <v>58</v>
      </c>
      <c r="AH76" s="213">
        <f t="shared" ca="1" si="40"/>
        <v>46914</v>
      </c>
      <c r="AI76" s="260">
        <f t="shared" ca="1" si="35"/>
        <v>619.79</v>
      </c>
      <c r="AJ76" s="215">
        <f t="shared" ca="1" si="36"/>
        <v>206.20567136486534</v>
      </c>
      <c r="AK76" s="168">
        <v>58</v>
      </c>
      <c r="AL76" s="213">
        <f t="shared" ca="1" si="41"/>
        <v>46914</v>
      </c>
      <c r="AM76" s="260">
        <f t="shared" ca="1" si="37"/>
        <v>676.41</v>
      </c>
      <c r="AO76" s="161">
        <v>58</v>
      </c>
      <c r="AP76" s="117">
        <f t="shared" si="76"/>
        <v>56.62</v>
      </c>
      <c r="AQ76" s="117">
        <f t="shared" si="77"/>
        <v>0</v>
      </c>
      <c r="AR76" s="117">
        <f t="shared" si="78"/>
        <v>0</v>
      </c>
      <c r="AS76" s="161">
        <f t="shared" si="79"/>
        <v>0</v>
      </c>
      <c r="AT76" s="161">
        <f t="shared" si="80"/>
        <v>0</v>
      </c>
      <c r="AU76" s="161">
        <f t="shared" si="81"/>
        <v>0</v>
      </c>
      <c r="AV76" s="161">
        <f t="shared" si="82"/>
        <v>0</v>
      </c>
      <c r="AW76" s="161">
        <f t="shared" si="83"/>
        <v>0</v>
      </c>
      <c r="AX76" s="161">
        <f t="shared" si="84"/>
        <v>0</v>
      </c>
      <c r="AY76" s="161">
        <f t="shared" si="85"/>
        <v>0</v>
      </c>
      <c r="BD76" s="186" t="str">
        <f t="shared" si="86"/>
        <v>2GOV SP - SPPREV</v>
      </c>
      <c r="BE76" s="186">
        <f t="shared" si="87"/>
        <v>2</v>
      </c>
      <c r="BF76" s="209" t="str">
        <f>'Base tabelas'!A55</f>
        <v>GOV SP - SPPREV</v>
      </c>
      <c r="BG76" s="209" t="str">
        <f>'Base tabelas'!B55</f>
        <v>774029 - Tabela 2</v>
      </c>
      <c r="BH76" s="209">
        <f>'Base tabelas'!C55</f>
        <v>2.1899999999999999E-2</v>
      </c>
      <c r="BI76" s="209">
        <f>'Base tabelas'!D55</f>
        <v>96</v>
      </c>
      <c r="BJ76" s="209" t="str">
        <f>'Base tabelas'!E55</f>
        <v/>
      </c>
      <c r="BK76" s="209">
        <f>'Base tabelas'!F55</f>
        <v>2.29</v>
      </c>
      <c r="BL76" s="209">
        <f>'Base tabelas'!G55</f>
        <v>10</v>
      </c>
      <c r="BM76" s="209">
        <f>'Base tabelas'!H55</f>
        <v>42</v>
      </c>
      <c r="BN76" s="209" t="str">
        <f>'Base tabelas'!I55</f>
        <v>RFN - GOV SP - SPPREV 2 DIG PORTAB PLUS</v>
      </c>
      <c r="BO76" s="209" t="str">
        <f>'Base tabelas'!J55</f>
        <v>1,44</v>
      </c>
      <c r="BP76" s="209">
        <f>'Base tabelas'!K55</f>
        <v>1.44E-2</v>
      </c>
      <c r="BQ76" s="277">
        <f t="shared" si="57"/>
        <v>2.6007086592338136E-2</v>
      </c>
      <c r="BR76" s="278">
        <f t="shared" si="58"/>
        <v>2.29E-2</v>
      </c>
      <c r="BS76" s="279">
        <v>2.9999999999999997E-4</v>
      </c>
      <c r="BU76" s="118" t="s">
        <v>231</v>
      </c>
      <c r="BV76" s="161">
        <v>67</v>
      </c>
    </row>
    <row r="77" spans="3:74" hidden="1" x14ac:dyDescent="0.25">
      <c r="C77">
        <v>28</v>
      </c>
      <c r="D77" s="10">
        <f t="shared" ca="1" si="74"/>
        <v>46001</v>
      </c>
      <c r="E77" s="14">
        <f t="shared" ca="1" si="89"/>
        <v>33.792010580546908</v>
      </c>
      <c r="F77" s="14">
        <f t="shared" si="89"/>
        <v>0</v>
      </c>
      <c r="G77" s="14">
        <f t="shared" si="89"/>
        <v>0</v>
      </c>
      <c r="H77" s="14">
        <f t="shared" si="89"/>
        <v>0</v>
      </c>
      <c r="I77" s="14">
        <f t="shared" si="89"/>
        <v>0</v>
      </c>
      <c r="J77" s="14">
        <f t="shared" si="89"/>
        <v>0</v>
      </c>
      <c r="K77" s="14">
        <f t="shared" si="89"/>
        <v>0</v>
      </c>
      <c r="L77" s="14">
        <f t="shared" si="89"/>
        <v>0</v>
      </c>
      <c r="M77" s="14">
        <f t="shared" si="89"/>
        <v>0</v>
      </c>
      <c r="N77" s="14">
        <f t="shared" si="89"/>
        <v>0</v>
      </c>
      <c r="O77" s="224"/>
      <c r="P77" s="284"/>
      <c r="Q77" s="161">
        <v>59</v>
      </c>
      <c r="R77" s="161">
        <f t="shared" si="47"/>
        <v>56.62</v>
      </c>
      <c r="S77" s="161">
        <f t="shared" si="48"/>
        <v>0</v>
      </c>
      <c r="T77" s="161">
        <f t="shared" si="49"/>
        <v>0</v>
      </c>
      <c r="U77" s="161">
        <f t="shared" si="50"/>
        <v>0</v>
      </c>
      <c r="V77" s="161">
        <f t="shared" si="51"/>
        <v>0</v>
      </c>
      <c r="W77" s="161">
        <f t="shared" si="52"/>
        <v>0</v>
      </c>
      <c r="X77" s="161">
        <f t="shared" si="53"/>
        <v>0</v>
      </c>
      <c r="Y77" s="161">
        <f t="shared" si="54"/>
        <v>0</v>
      </c>
      <c r="Z77" s="161">
        <f t="shared" si="55"/>
        <v>0</v>
      </c>
      <c r="AA77" s="161">
        <f t="shared" si="56"/>
        <v>0</v>
      </c>
      <c r="AB77" s="161"/>
      <c r="AC77" s="168">
        <v>59</v>
      </c>
      <c r="AD77" s="213">
        <f t="shared" ca="1" si="39"/>
        <v>46944</v>
      </c>
      <c r="AE77" s="260">
        <f t="shared" si="75"/>
        <v>56.62</v>
      </c>
      <c r="AF77" s="168"/>
      <c r="AG77" s="233">
        <v>59</v>
      </c>
      <c r="AH77" s="213">
        <f t="shared" ca="1" si="40"/>
        <v>46944</v>
      </c>
      <c r="AI77" s="260">
        <f t="shared" ca="1" si="35"/>
        <v>619.79</v>
      </c>
      <c r="AJ77" s="215">
        <f t="shared" ca="1" si="36"/>
        <v>202.34095904706638</v>
      </c>
      <c r="AK77" s="168">
        <v>59</v>
      </c>
      <c r="AL77" s="213">
        <f t="shared" ca="1" si="41"/>
        <v>46944</v>
      </c>
      <c r="AM77" s="260">
        <f t="shared" ca="1" si="37"/>
        <v>676.41</v>
      </c>
      <c r="AO77" s="161">
        <v>59</v>
      </c>
      <c r="AP77" s="117">
        <f t="shared" si="76"/>
        <v>56.62</v>
      </c>
      <c r="AQ77" s="117">
        <f t="shared" si="77"/>
        <v>0</v>
      </c>
      <c r="AR77" s="117">
        <f t="shared" si="78"/>
        <v>0</v>
      </c>
      <c r="AS77" s="161">
        <f t="shared" si="79"/>
        <v>0</v>
      </c>
      <c r="AT77" s="161">
        <f t="shared" si="80"/>
        <v>0</v>
      </c>
      <c r="AU77" s="161">
        <f t="shared" si="81"/>
        <v>0</v>
      </c>
      <c r="AV77" s="161">
        <f t="shared" si="82"/>
        <v>0</v>
      </c>
      <c r="AW77" s="161">
        <f t="shared" si="83"/>
        <v>0</v>
      </c>
      <c r="AX77" s="161">
        <f t="shared" si="84"/>
        <v>0</v>
      </c>
      <c r="AY77" s="161">
        <f t="shared" si="85"/>
        <v>0</v>
      </c>
      <c r="BD77" s="186" t="str">
        <f t="shared" si="86"/>
        <v>3GOV SP - SPPREV</v>
      </c>
      <c r="BE77" s="186">
        <f t="shared" si="87"/>
        <v>3</v>
      </c>
      <c r="BF77" s="209" t="str">
        <f>'Base tabelas'!A56</f>
        <v>GOV SP - SPPREV</v>
      </c>
      <c r="BG77" s="209" t="str">
        <f>'Base tabelas'!B56</f>
        <v>774030 - Tabela 3</v>
      </c>
      <c r="BH77" s="209">
        <f>'Base tabelas'!C56</f>
        <v>2.0899999999999998E-2</v>
      </c>
      <c r="BI77" s="209">
        <f>'Base tabelas'!D56</f>
        <v>96</v>
      </c>
      <c r="BJ77" s="209" t="str">
        <f>'Base tabelas'!E56</f>
        <v/>
      </c>
      <c r="BK77" s="209">
        <f>'Base tabelas'!F56</f>
        <v>2.29</v>
      </c>
      <c r="BL77" s="209">
        <f>'Base tabelas'!G56</f>
        <v>10</v>
      </c>
      <c r="BM77" s="209">
        <f>'Base tabelas'!H56</f>
        <v>45</v>
      </c>
      <c r="BN77" s="209" t="str">
        <f>'Base tabelas'!I56</f>
        <v>RFN - GOV SP - SPPREV 3 DIG PORTAB PLUS</v>
      </c>
      <c r="BO77" s="209" t="str">
        <f>'Base tabelas'!J56</f>
        <v>1,44</v>
      </c>
      <c r="BP77" s="209">
        <f>'Base tabelas'!K56</f>
        <v>1.44E-2</v>
      </c>
      <c r="BQ77" s="277">
        <f t="shared" si="57"/>
        <v>2.5216089769097401E-2</v>
      </c>
      <c r="BR77" s="278">
        <f t="shared" si="58"/>
        <v>2.29E-2</v>
      </c>
      <c r="BS77" s="279">
        <v>2.9999999999999997E-4</v>
      </c>
      <c r="BU77" s="118" t="s">
        <v>233</v>
      </c>
      <c r="BV77" s="161">
        <v>65.5</v>
      </c>
    </row>
    <row r="78" spans="3:74" hidden="1" x14ac:dyDescent="0.25">
      <c r="C78">
        <v>29</v>
      </c>
      <c r="D78" s="10">
        <f t="shared" ca="1" si="74"/>
        <v>46032</v>
      </c>
      <c r="E78" s="14">
        <f t="shared" ca="1" si="89"/>
        <v>33.148361957151828</v>
      </c>
      <c r="F78" s="14">
        <f t="shared" si="89"/>
        <v>0</v>
      </c>
      <c r="G78" s="14">
        <f t="shared" si="89"/>
        <v>0</v>
      </c>
      <c r="H78" s="14">
        <f t="shared" si="89"/>
        <v>0</v>
      </c>
      <c r="I78" s="14">
        <f t="shared" si="89"/>
        <v>0</v>
      </c>
      <c r="J78" s="14">
        <f t="shared" si="89"/>
        <v>0</v>
      </c>
      <c r="K78" s="14">
        <f t="shared" si="89"/>
        <v>0</v>
      </c>
      <c r="L78" s="14">
        <f t="shared" si="89"/>
        <v>0</v>
      </c>
      <c r="M78" s="14">
        <f t="shared" si="89"/>
        <v>0</v>
      </c>
      <c r="N78" s="14">
        <f t="shared" si="89"/>
        <v>0</v>
      </c>
      <c r="O78" s="224"/>
      <c r="P78" s="284"/>
      <c r="Q78" s="161">
        <v>60</v>
      </c>
      <c r="R78" s="161">
        <f t="shared" si="47"/>
        <v>56.62</v>
      </c>
      <c r="S78" s="161">
        <f t="shared" si="48"/>
        <v>0</v>
      </c>
      <c r="T78" s="161">
        <f t="shared" si="49"/>
        <v>0</v>
      </c>
      <c r="U78" s="161">
        <f t="shared" si="50"/>
        <v>0</v>
      </c>
      <c r="V78" s="161">
        <f t="shared" si="51"/>
        <v>0</v>
      </c>
      <c r="W78" s="161">
        <f t="shared" si="52"/>
        <v>0</v>
      </c>
      <c r="X78" s="161">
        <f t="shared" si="53"/>
        <v>0</v>
      </c>
      <c r="Y78" s="161">
        <f t="shared" si="54"/>
        <v>0</v>
      </c>
      <c r="Z78" s="161">
        <f t="shared" si="55"/>
        <v>0</v>
      </c>
      <c r="AA78" s="161">
        <f t="shared" si="56"/>
        <v>0</v>
      </c>
      <c r="AB78" s="161"/>
      <c r="AC78" s="168">
        <v>60</v>
      </c>
      <c r="AD78" s="213">
        <f t="shared" ca="1" si="39"/>
        <v>46975</v>
      </c>
      <c r="AE78" s="260">
        <f t="shared" si="75"/>
        <v>56.62</v>
      </c>
      <c r="AF78" s="168"/>
      <c r="AG78" s="233">
        <v>60</v>
      </c>
      <c r="AH78" s="213">
        <f t="shared" ca="1" si="40"/>
        <v>46975</v>
      </c>
      <c r="AI78" s="260">
        <f t="shared" ca="1" si="35"/>
        <v>619.79</v>
      </c>
      <c r="AJ78" s="215">
        <f t="shared" ca="1" si="36"/>
        <v>198.42350147794431</v>
      </c>
      <c r="AK78" s="168">
        <v>60</v>
      </c>
      <c r="AL78" s="213">
        <f t="shared" ca="1" si="41"/>
        <v>46975</v>
      </c>
      <c r="AM78" s="260">
        <f t="shared" ca="1" si="37"/>
        <v>676.41</v>
      </c>
      <c r="AO78" s="161">
        <v>60</v>
      </c>
      <c r="AP78" s="117">
        <f t="shared" si="76"/>
        <v>56.62</v>
      </c>
      <c r="AQ78" s="117">
        <f t="shared" si="77"/>
        <v>0</v>
      </c>
      <c r="AR78" s="117">
        <f t="shared" si="78"/>
        <v>0</v>
      </c>
      <c r="AS78" s="161">
        <f t="shared" si="79"/>
        <v>0</v>
      </c>
      <c r="AT78" s="161">
        <f t="shared" si="80"/>
        <v>0</v>
      </c>
      <c r="AU78" s="161">
        <f t="shared" si="81"/>
        <v>0</v>
      </c>
      <c r="AV78" s="161">
        <f t="shared" si="82"/>
        <v>0</v>
      </c>
      <c r="AW78" s="161">
        <f t="shared" si="83"/>
        <v>0</v>
      </c>
      <c r="AX78" s="161">
        <f t="shared" si="84"/>
        <v>0</v>
      </c>
      <c r="AY78" s="161">
        <f t="shared" si="85"/>
        <v>0</v>
      </c>
      <c r="BD78" s="186" t="str">
        <f t="shared" si="86"/>
        <v>4GOV SP - SPPREV</v>
      </c>
      <c r="BE78" s="186">
        <f t="shared" si="87"/>
        <v>4</v>
      </c>
      <c r="BF78" s="209" t="str">
        <f>'Base tabelas'!A57</f>
        <v>GOV SP - SPPREV</v>
      </c>
      <c r="BG78" s="209" t="str">
        <f>'Base tabelas'!B57</f>
        <v>774037 - Tabela 4</v>
      </c>
      <c r="BH78" s="209">
        <f>'Base tabelas'!C57</f>
        <v>1.9900000000000001E-2</v>
      </c>
      <c r="BI78" s="209">
        <f>'Base tabelas'!D57</f>
        <v>96</v>
      </c>
      <c r="BJ78" s="209" t="str">
        <f>'Base tabelas'!E57</f>
        <v/>
      </c>
      <c r="BK78" s="209">
        <f>'Base tabelas'!F57</f>
        <v>2.29</v>
      </c>
      <c r="BL78" s="209">
        <f>'Base tabelas'!G57</f>
        <v>10</v>
      </c>
      <c r="BM78" s="209">
        <f>'Base tabelas'!H57</f>
        <v>45</v>
      </c>
      <c r="BN78" s="209" t="str">
        <f>'Base tabelas'!I57</f>
        <v>RFN - GOV SP - SPPREV 4 DIG PORTAB PLUS</v>
      </c>
      <c r="BO78" s="209" t="str">
        <f>'Base tabelas'!J57</f>
        <v>1,44</v>
      </c>
      <c r="BP78" s="209">
        <f>'Base tabelas'!K57</f>
        <v>1.44E-2</v>
      </c>
      <c r="BQ78" s="277">
        <f t="shared" si="57"/>
        <v>2.4380532664636318E-2</v>
      </c>
      <c r="BR78" s="278">
        <f t="shared" si="58"/>
        <v>2.29E-2</v>
      </c>
      <c r="BS78" s="279">
        <v>2.9999999999999997E-4</v>
      </c>
      <c r="BU78" s="118" t="s">
        <v>236</v>
      </c>
      <c r="BV78" s="161">
        <v>54</v>
      </c>
    </row>
    <row r="79" spans="3:74" hidden="1" x14ac:dyDescent="0.25">
      <c r="C79">
        <v>30</v>
      </c>
      <c r="D79" s="10">
        <f t="shared" ca="1" si="74"/>
        <v>46063</v>
      </c>
      <c r="E79" s="14">
        <f t="shared" ca="1" si="89"/>
        <v>32.516973141423726</v>
      </c>
      <c r="F79" s="14">
        <f t="shared" si="89"/>
        <v>0</v>
      </c>
      <c r="G79" s="14">
        <f t="shared" si="89"/>
        <v>0</v>
      </c>
      <c r="H79" s="14">
        <f t="shared" si="89"/>
        <v>0</v>
      </c>
      <c r="I79" s="14">
        <f t="shared" si="89"/>
        <v>0</v>
      </c>
      <c r="J79" s="14">
        <f t="shared" si="89"/>
        <v>0</v>
      </c>
      <c r="K79" s="14">
        <f t="shared" si="89"/>
        <v>0</v>
      </c>
      <c r="L79" s="14">
        <f t="shared" si="89"/>
        <v>0</v>
      </c>
      <c r="M79" s="14">
        <f t="shared" si="89"/>
        <v>0</v>
      </c>
      <c r="N79" s="14">
        <f t="shared" si="89"/>
        <v>0</v>
      </c>
      <c r="O79" s="224"/>
      <c r="P79" s="284"/>
      <c r="Q79" s="161">
        <v>61</v>
      </c>
      <c r="R79" s="161">
        <f t="shared" si="47"/>
        <v>56.62</v>
      </c>
      <c r="S79" s="161">
        <f t="shared" si="48"/>
        <v>0</v>
      </c>
      <c r="T79" s="161">
        <f t="shared" si="49"/>
        <v>0</v>
      </c>
      <c r="U79" s="161">
        <f t="shared" si="50"/>
        <v>0</v>
      </c>
      <c r="V79" s="161">
        <f t="shared" si="51"/>
        <v>0</v>
      </c>
      <c r="W79" s="161">
        <f t="shared" si="52"/>
        <v>0</v>
      </c>
      <c r="X79" s="161">
        <f t="shared" si="53"/>
        <v>0</v>
      </c>
      <c r="Y79" s="161">
        <f t="shared" si="54"/>
        <v>0</v>
      </c>
      <c r="Z79" s="161">
        <f t="shared" si="55"/>
        <v>0</v>
      </c>
      <c r="AA79" s="161">
        <f t="shared" si="56"/>
        <v>0</v>
      </c>
      <c r="AB79" s="161"/>
      <c r="AC79" s="168">
        <v>61</v>
      </c>
      <c r="AD79" s="213">
        <f t="shared" ca="1" si="39"/>
        <v>47006</v>
      </c>
      <c r="AE79" s="260">
        <f t="shared" si="75"/>
        <v>56.62</v>
      </c>
      <c r="AF79" s="168"/>
      <c r="AG79" s="233">
        <v>61</v>
      </c>
      <c r="AH79" s="213">
        <f t="shared" ca="1" si="40"/>
        <v>47006</v>
      </c>
      <c r="AI79" s="260">
        <f t="shared" ca="1" si="35"/>
        <v>619.79</v>
      </c>
      <c r="AJ79" s="215">
        <f t="shared" ca="1" si="36"/>
        <v>194.58188853206687</v>
      </c>
      <c r="AK79" s="168">
        <v>61</v>
      </c>
      <c r="AL79" s="213">
        <f t="shared" ca="1" si="41"/>
        <v>47006</v>
      </c>
      <c r="AM79" s="260">
        <f t="shared" ca="1" si="37"/>
        <v>676.41</v>
      </c>
      <c r="AO79" s="161">
        <v>61</v>
      </c>
      <c r="AP79" s="117">
        <f t="shared" si="76"/>
        <v>56.62</v>
      </c>
      <c r="AQ79" s="117">
        <f t="shared" si="77"/>
        <v>0</v>
      </c>
      <c r="AR79" s="117">
        <f t="shared" si="78"/>
        <v>0</v>
      </c>
      <c r="AS79" s="161">
        <f t="shared" si="79"/>
        <v>0</v>
      </c>
      <c r="AT79" s="161">
        <f t="shared" si="80"/>
        <v>0</v>
      </c>
      <c r="AU79" s="161">
        <f t="shared" si="81"/>
        <v>0</v>
      </c>
      <c r="AV79" s="161">
        <f t="shared" si="82"/>
        <v>0</v>
      </c>
      <c r="AW79" s="161">
        <f t="shared" si="83"/>
        <v>0</v>
      </c>
      <c r="AX79" s="161">
        <f t="shared" si="84"/>
        <v>0</v>
      </c>
      <c r="AY79" s="161">
        <f t="shared" si="85"/>
        <v>0</v>
      </c>
      <c r="BD79" s="186" t="str">
        <f t="shared" si="86"/>
        <v>5GOV SP - SPPREV</v>
      </c>
      <c r="BE79" s="186">
        <f t="shared" si="87"/>
        <v>5</v>
      </c>
      <c r="BF79" s="209" t="str">
        <f>'Base tabelas'!A58</f>
        <v>GOV SP - SPPREV</v>
      </c>
      <c r="BG79" s="209" t="str">
        <f>'Base tabelas'!B58</f>
        <v>774038 - Tabela 5</v>
      </c>
      <c r="BH79" s="209">
        <f>'Base tabelas'!C58</f>
        <v>1.8500000000000003E-2</v>
      </c>
      <c r="BI79" s="209">
        <f>'Base tabelas'!D58</f>
        <v>96</v>
      </c>
      <c r="BJ79" s="209" t="str">
        <f>'Base tabelas'!E58</f>
        <v/>
      </c>
      <c r="BK79" s="209">
        <f>'Base tabelas'!F58</f>
        <v>2.29</v>
      </c>
      <c r="BL79" s="209">
        <f>'Base tabelas'!G58</f>
        <v>10</v>
      </c>
      <c r="BM79" s="209">
        <f>'Base tabelas'!H58</f>
        <v>45</v>
      </c>
      <c r="BN79" s="209" t="str">
        <f>'Base tabelas'!I58</f>
        <v>RFN - GOV SP - SPPREV 5 DIG PORTAB PLUS</v>
      </c>
      <c r="BO79" s="209" t="str">
        <f>'Base tabelas'!J58</f>
        <v>1,44</v>
      </c>
      <c r="BP79" s="209">
        <f>'Base tabelas'!K58</f>
        <v>1.44E-2</v>
      </c>
      <c r="BQ79" s="277">
        <f t="shared" si="57"/>
        <v>2.3231375881545779E-2</v>
      </c>
      <c r="BR79" s="278">
        <f t="shared" si="58"/>
        <v>2.29E-2</v>
      </c>
      <c r="BS79" s="279">
        <v>2.9999999999999997E-4</v>
      </c>
      <c r="BU79" s="118" t="s">
        <v>99</v>
      </c>
      <c r="BV79" s="161">
        <v>43.75</v>
      </c>
    </row>
    <row r="80" spans="3:74" hidden="1" x14ac:dyDescent="0.25">
      <c r="C80">
        <v>31</v>
      </c>
      <c r="D80" s="10">
        <f t="shared" ca="1" si="74"/>
        <v>46091</v>
      </c>
      <c r="E80" s="14">
        <f t="shared" ref="E80:N89" ca="1" si="90">IF($C80&lt;=E$17,E$18/(($D$48+1)^(($D80-$D$49)/30)),0)</f>
        <v>31.957029707262436</v>
      </c>
      <c r="F80" s="14">
        <f t="shared" si="90"/>
        <v>0</v>
      </c>
      <c r="G80" s="14">
        <f t="shared" si="90"/>
        <v>0</v>
      </c>
      <c r="H80" s="14">
        <f t="shared" si="90"/>
        <v>0</v>
      </c>
      <c r="I80" s="14">
        <f t="shared" si="90"/>
        <v>0</v>
      </c>
      <c r="J80" s="14">
        <f t="shared" si="90"/>
        <v>0</v>
      </c>
      <c r="K80" s="14">
        <f t="shared" si="90"/>
        <v>0</v>
      </c>
      <c r="L80" s="14">
        <f t="shared" si="90"/>
        <v>0</v>
      </c>
      <c r="M80" s="14">
        <f t="shared" si="90"/>
        <v>0</v>
      </c>
      <c r="N80" s="14">
        <f t="shared" si="90"/>
        <v>0</v>
      </c>
      <c r="O80" s="224"/>
      <c r="P80" s="284"/>
      <c r="Q80" s="161">
        <v>62</v>
      </c>
      <c r="R80" s="161">
        <f t="shared" si="47"/>
        <v>56.62</v>
      </c>
      <c r="S80" s="161">
        <f t="shared" si="48"/>
        <v>0</v>
      </c>
      <c r="T80" s="161">
        <f t="shared" si="49"/>
        <v>0</v>
      </c>
      <c r="U80" s="161">
        <f t="shared" si="50"/>
        <v>0</v>
      </c>
      <c r="V80" s="161">
        <f t="shared" si="51"/>
        <v>0</v>
      </c>
      <c r="W80" s="161">
        <f t="shared" si="52"/>
        <v>0</v>
      </c>
      <c r="X80" s="161">
        <f t="shared" si="53"/>
        <v>0</v>
      </c>
      <c r="Y80" s="161">
        <f t="shared" si="54"/>
        <v>0</v>
      </c>
      <c r="Z80" s="161">
        <f t="shared" si="55"/>
        <v>0</v>
      </c>
      <c r="AA80" s="161">
        <f t="shared" si="56"/>
        <v>0</v>
      </c>
      <c r="AB80" s="161"/>
      <c r="AC80" s="168">
        <v>62</v>
      </c>
      <c r="AD80" s="213">
        <f t="shared" ca="1" si="39"/>
        <v>47036</v>
      </c>
      <c r="AE80" s="260">
        <f t="shared" si="75"/>
        <v>56.62</v>
      </c>
      <c r="AF80" s="168"/>
      <c r="AG80" s="233">
        <v>62</v>
      </c>
      <c r="AH80" s="213">
        <f t="shared" ca="1" si="40"/>
        <v>47036</v>
      </c>
      <c r="AI80" s="260">
        <f t="shared" ca="1" si="35"/>
        <v>619.79</v>
      </c>
      <c r="AJ80" s="215">
        <f t="shared" ca="1" si="36"/>
        <v>190.93502946920509</v>
      </c>
      <c r="AK80" s="168">
        <v>62</v>
      </c>
      <c r="AL80" s="213">
        <f t="shared" ca="1" si="41"/>
        <v>47036</v>
      </c>
      <c r="AM80" s="260">
        <f t="shared" ca="1" si="37"/>
        <v>676.41</v>
      </c>
      <c r="AO80" s="161">
        <v>62</v>
      </c>
      <c r="AP80" s="117">
        <f t="shared" si="76"/>
        <v>56.62</v>
      </c>
      <c r="AQ80" s="117">
        <f t="shared" si="77"/>
        <v>0</v>
      </c>
      <c r="AR80" s="117">
        <f t="shared" si="78"/>
        <v>0</v>
      </c>
      <c r="AS80" s="161">
        <f t="shared" si="79"/>
        <v>0</v>
      </c>
      <c r="AT80" s="161">
        <f t="shared" si="80"/>
        <v>0</v>
      </c>
      <c r="AU80" s="161">
        <f t="shared" si="81"/>
        <v>0</v>
      </c>
      <c r="AV80" s="161">
        <f t="shared" si="82"/>
        <v>0</v>
      </c>
      <c r="AW80" s="161">
        <f t="shared" si="83"/>
        <v>0</v>
      </c>
      <c r="AX80" s="161">
        <f t="shared" si="84"/>
        <v>0</v>
      </c>
      <c r="AY80" s="161">
        <f t="shared" si="85"/>
        <v>0</v>
      </c>
      <c r="BD80" s="186" t="str">
        <f t="shared" si="86"/>
        <v>1GOV SP PM PORT</v>
      </c>
      <c r="BE80" s="186">
        <f t="shared" si="87"/>
        <v>1</v>
      </c>
      <c r="BF80" s="209" t="str">
        <f>'Base tabelas'!A59</f>
        <v>GOV SP PM PORT</v>
      </c>
      <c r="BG80" s="209" t="str">
        <f>'Base tabelas'!B59</f>
        <v>705171 - Tabela 1</v>
      </c>
      <c r="BH80" s="209">
        <f>'Base tabelas'!C59</f>
        <v>2.29E-2</v>
      </c>
      <c r="BI80" s="209">
        <f>'Base tabelas'!D59</f>
        <v>96</v>
      </c>
      <c r="BJ80" s="209" t="str">
        <f>'Base tabelas'!E59</f>
        <v/>
      </c>
      <c r="BK80" s="209">
        <f>'Base tabelas'!F59</f>
        <v>2.29</v>
      </c>
      <c r="BL80" s="209">
        <f>'Base tabelas'!G59</f>
        <v>10</v>
      </c>
      <c r="BM80" s="209">
        <f>'Base tabelas'!H59</f>
        <v>56</v>
      </c>
      <c r="BN80" s="209" t="str">
        <f>'Base tabelas'!I59</f>
        <v>RFN - GOV SP - PM 1 PORTAB DIG</v>
      </c>
      <c r="BO80" s="209" t="str">
        <f>'Base tabelas'!J59</f>
        <v>1,44</v>
      </c>
      <c r="BP80" s="209">
        <f>'Base tabelas'!K59</f>
        <v>1.44E-2</v>
      </c>
      <c r="BQ80" s="277">
        <f t="shared" si="57"/>
        <v>2.7146782599969166E-2</v>
      </c>
      <c r="BR80" s="278">
        <f t="shared" si="58"/>
        <v>2.29E-2</v>
      </c>
      <c r="BS80" s="279">
        <v>2.9999999999999997E-4</v>
      </c>
      <c r="BU80" s="118" t="s">
        <v>238</v>
      </c>
      <c r="BV80" s="161">
        <v>51</v>
      </c>
    </row>
    <row r="81" spans="3:74" hidden="1" x14ac:dyDescent="0.25">
      <c r="C81">
        <v>32</v>
      </c>
      <c r="D81" s="10">
        <f t="shared" ca="1" si="74"/>
        <v>46122</v>
      </c>
      <c r="E81" s="14">
        <f t="shared" ca="1" si="90"/>
        <v>31.348332626931963</v>
      </c>
      <c r="F81" s="14">
        <f t="shared" si="90"/>
        <v>0</v>
      </c>
      <c r="G81" s="14">
        <f t="shared" si="90"/>
        <v>0</v>
      </c>
      <c r="H81" s="14">
        <f t="shared" si="90"/>
        <v>0</v>
      </c>
      <c r="I81" s="14">
        <f t="shared" si="90"/>
        <v>0</v>
      </c>
      <c r="J81" s="14">
        <f t="shared" si="90"/>
        <v>0</v>
      </c>
      <c r="K81" s="14">
        <f t="shared" si="90"/>
        <v>0</v>
      </c>
      <c r="L81" s="14">
        <f t="shared" si="90"/>
        <v>0</v>
      </c>
      <c r="M81" s="14">
        <f t="shared" si="90"/>
        <v>0</v>
      </c>
      <c r="N81" s="14">
        <f t="shared" si="90"/>
        <v>0</v>
      </c>
      <c r="O81" s="224"/>
      <c r="P81" s="284"/>
      <c r="Q81" s="161">
        <v>63</v>
      </c>
      <c r="R81" s="161">
        <f t="shared" si="47"/>
        <v>56.62</v>
      </c>
      <c r="S81" s="161">
        <f t="shared" si="48"/>
        <v>0</v>
      </c>
      <c r="T81" s="161">
        <f t="shared" si="49"/>
        <v>0</v>
      </c>
      <c r="U81" s="161">
        <f t="shared" si="50"/>
        <v>0</v>
      </c>
      <c r="V81" s="161">
        <f t="shared" si="51"/>
        <v>0</v>
      </c>
      <c r="W81" s="161">
        <f t="shared" si="52"/>
        <v>0</v>
      </c>
      <c r="X81" s="161">
        <f t="shared" si="53"/>
        <v>0</v>
      </c>
      <c r="Y81" s="161">
        <f t="shared" si="54"/>
        <v>0</v>
      </c>
      <c r="Z81" s="161">
        <f t="shared" si="55"/>
        <v>0</v>
      </c>
      <c r="AA81" s="161">
        <f t="shared" si="56"/>
        <v>0</v>
      </c>
      <c r="AB81" s="161"/>
      <c r="AC81" s="168">
        <v>63</v>
      </c>
      <c r="AD81" s="213">
        <f t="shared" ca="1" si="39"/>
        <v>47067</v>
      </c>
      <c r="AE81" s="260">
        <f t="shared" si="75"/>
        <v>56.62</v>
      </c>
      <c r="AF81" s="168"/>
      <c r="AG81" s="233">
        <v>63</v>
      </c>
      <c r="AH81" s="213">
        <f t="shared" ca="1" si="40"/>
        <v>47067</v>
      </c>
      <c r="AI81" s="260">
        <f t="shared" ca="1" si="35"/>
        <v>619.79</v>
      </c>
      <c r="AJ81" s="215">
        <f t="shared" ca="1" si="36"/>
        <v>187.23839839694313</v>
      </c>
      <c r="AK81" s="168">
        <v>63</v>
      </c>
      <c r="AL81" s="213">
        <f t="shared" ca="1" si="41"/>
        <v>47067</v>
      </c>
      <c r="AM81" s="260">
        <f t="shared" ca="1" si="37"/>
        <v>676.41</v>
      </c>
      <c r="AO81" s="161">
        <v>63</v>
      </c>
      <c r="AP81" s="117">
        <f t="shared" si="76"/>
        <v>56.62</v>
      </c>
      <c r="AQ81" s="117">
        <f t="shared" si="77"/>
        <v>0</v>
      </c>
      <c r="AR81" s="117">
        <f t="shared" si="78"/>
        <v>0</v>
      </c>
      <c r="AS81" s="161">
        <f t="shared" si="79"/>
        <v>0</v>
      </c>
      <c r="AT81" s="161">
        <f t="shared" si="80"/>
        <v>0</v>
      </c>
      <c r="AU81" s="161">
        <f t="shared" si="81"/>
        <v>0</v>
      </c>
      <c r="AV81" s="161">
        <f t="shared" si="82"/>
        <v>0</v>
      </c>
      <c r="AW81" s="161">
        <f t="shared" si="83"/>
        <v>0</v>
      </c>
      <c r="AX81" s="161">
        <f t="shared" si="84"/>
        <v>0</v>
      </c>
      <c r="AY81" s="161">
        <f t="shared" si="85"/>
        <v>0</v>
      </c>
      <c r="BD81" s="186" t="str">
        <f t="shared" si="86"/>
        <v>2GOV SP PM PORT</v>
      </c>
      <c r="BE81" s="186">
        <f t="shared" si="87"/>
        <v>2</v>
      </c>
      <c r="BF81" s="209" t="str">
        <f>'Base tabelas'!A60</f>
        <v>GOV SP PM PORT</v>
      </c>
      <c r="BG81" s="209" t="str">
        <f>'Base tabelas'!B60</f>
        <v>705172 - Tabela 2</v>
      </c>
      <c r="BH81" s="209">
        <f>'Base tabelas'!C60</f>
        <v>2.1899999999999999E-2</v>
      </c>
      <c r="BI81" s="209">
        <f>'Base tabelas'!D60</f>
        <v>96</v>
      </c>
      <c r="BJ81" s="209" t="str">
        <f>'Base tabelas'!E60</f>
        <v/>
      </c>
      <c r="BK81" s="209">
        <f>'Base tabelas'!F60</f>
        <v>2.29</v>
      </c>
      <c r="BL81" s="209">
        <f>'Base tabelas'!G60</f>
        <v>10</v>
      </c>
      <c r="BM81" s="209">
        <f>'Base tabelas'!H60</f>
        <v>60</v>
      </c>
      <c r="BN81" s="209" t="str">
        <f>'Base tabelas'!I60</f>
        <v>RFN - GOV SP - PM 2 PORTAB DIG</v>
      </c>
      <c r="BO81" s="209" t="str">
        <f>'Base tabelas'!J60</f>
        <v>1,44</v>
      </c>
      <c r="BP81" s="209">
        <f>'Base tabelas'!K60</f>
        <v>1.44E-2</v>
      </c>
      <c r="BQ81" s="277">
        <f t="shared" si="57"/>
        <v>2.6347338018250815E-2</v>
      </c>
      <c r="BR81" s="278">
        <f t="shared" si="58"/>
        <v>2.29E-2</v>
      </c>
      <c r="BS81" s="279">
        <v>2.9999999999999997E-4</v>
      </c>
      <c r="BU81" s="118" t="s">
        <v>454</v>
      </c>
      <c r="BV81" s="161">
        <v>41</v>
      </c>
    </row>
    <row r="82" spans="3:74" hidden="1" x14ac:dyDescent="0.25">
      <c r="C82">
        <v>33</v>
      </c>
      <c r="D82" s="10">
        <f t="shared" ca="1" si="74"/>
        <v>46152</v>
      </c>
      <c r="E82" s="14">
        <f t="shared" ca="1" si="90"/>
        <v>30.770312310185137</v>
      </c>
      <c r="F82" s="14">
        <f t="shared" si="90"/>
        <v>0</v>
      </c>
      <c r="G82" s="14">
        <f t="shared" si="90"/>
        <v>0</v>
      </c>
      <c r="H82" s="14">
        <f t="shared" si="90"/>
        <v>0</v>
      </c>
      <c r="I82" s="14">
        <f t="shared" si="90"/>
        <v>0</v>
      </c>
      <c r="J82" s="14">
        <f t="shared" si="90"/>
        <v>0</v>
      </c>
      <c r="K82" s="14">
        <f t="shared" si="90"/>
        <v>0</v>
      </c>
      <c r="L82" s="14">
        <f t="shared" si="90"/>
        <v>0</v>
      </c>
      <c r="M82" s="14">
        <f t="shared" si="90"/>
        <v>0</v>
      </c>
      <c r="N82" s="14">
        <f t="shared" si="90"/>
        <v>0</v>
      </c>
      <c r="O82" s="224"/>
      <c r="P82" s="284"/>
      <c r="Q82" s="161">
        <v>64</v>
      </c>
      <c r="R82" s="161">
        <f t="shared" si="47"/>
        <v>56.62</v>
      </c>
      <c r="S82" s="161">
        <f t="shared" si="48"/>
        <v>0</v>
      </c>
      <c r="T82" s="161">
        <f t="shared" si="49"/>
        <v>0</v>
      </c>
      <c r="U82" s="161">
        <f t="shared" si="50"/>
        <v>0</v>
      </c>
      <c r="V82" s="161">
        <f t="shared" si="51"/>
        <v>0</v>
      </c>
      <c r="W82" s="161">
        <f t="shared" si="52"/>
        <v>0</v>
      </c>
      <c r="X82" s="161">
        <f t="shared" si="53"/>
        <v>0</v>
      </c>
      <c r="Y82" s="161">
        <f t="shared" si="54"/>
        <v>0</v>
      </c>
      <c r="Z82" s="161">
        <f t="shared" si="55"/>
        <v>0</v>
      </c>
      <c r="AA82" s="161">
        <f t="shared" si="56"/>
        <v>0</v>
      </c>
      <c r="AB82" s="161"/>
      <c r="AC82" s="168">
        <v>64</v>
      </c>
      <c r="AD82" s="213">
        <f t="shared" ca="1" si="39"/>
        <v>47097</v>
      </c>
      <c r="AE82" s="260">
        <f t="shared" si="75"/>
        <v>56.62</v>
      </c>
      <c r="AF82" s="168"/>
      <c r="AG82" s="233">
        <v>64</v>
      </c>
      <c r="AH82" s="213">
        <f t="shared" ca="1" si="40"/>
        <v>47097</v>
      </c>
      <c r="AI82" s="260">
        <f t="shared" ca="1" si="35"/>
        <v>619.79</v>
      </c>
      <c r="AJ82" s="215">
        <f t="shared" ca="1" si="36"/>
        <v>183.72917122651666</v>
      </c>
      <c r="AK82" s="168">
        <v>64</v>
      </c>
      <c r="AL82" s="213">
        <f t="shared" ca="1" si="41"/>
        <v>47097</v>
      </c>
      <c r="AM82" s="260">
        <f t="shared" ca="1" si="37"/>
        <v>676.41</v>
      </c>
      <c r="AO82" s="161">
        <v>64</v>
      </c>
      <c r="AP82" s="117">
        <f t="shared" si="76"/>
        <v>56.62</v>
      </c>
      <c r="AQ82" s="117">
        <f t="shared" si="77"/>
        <v>0</v>
      </c>
      <c r="AR82" s="117">
        <f t="shared" si="78"/>
        <v>0</v>
      </c>
      <c r="AS82" s="161">
        <f t="shared" si="79"/>
        <v>0</v>
      </c>
      <c r="AT82" s="161">
        <f t="shared" si="80"/>
        <v>0</v>
      </c>
      <c r="AU82" s="161">
        <f t="shared" si="81"/>
        <v>0</v>
      </c>
      <c r="AV82" s="161">
        <f t="shared" si="82"/>
        <v>0</v>
      </c>
      <c r="AW82" s="161">
        <f t="shared" si="83"/>
        <v>0</v>
      </c>
      <c r="AX82" s="161">
        <f t="shared" si="84"/>
        <v>0</v>
      </c>
      <c r="AY82" s="161">
        <f t="shared" si="85"/>
        <v>0</v>
      </c>
      <c r="BD82" s="186" t="str">
        <f t="shared" si="86"/>
        <v>3GOV SP PM PORT</v>
      </c>
      <c r="BE82" s="186">
        <f t="shared" si="87"/>
        <v>3</v>
      </c>
      <c r="BF82" s="209" t="str">
        <f>'Base tabelas'!A61</f>
        <v>GOV SP PM PORT</v>
      </c>
      <c r="BG82" s="209" t="str">
        <f>'Base tabelas'!B61</f>
        <v>705173 - Tabela 3</v>
      </c>
      <c r="BH82" s="209">
        <f>'Base tabelas'!C61</f>
        <v>2.0899999999999998E-2</v>
      </c>
      <c r="BI82" s="209">
        <f>'Base tabelas'!D61</f>
        <v>96</v>
      </c>
      <c r="BJ82" s="209" t="str">
        <f>'Base tabelas'!E61</f>
        <v/>
      </c>
      <c r="BK82" s="209">
        <f>'Base tabelas'!F61</f>
        <v>2.29</v>
      </c>
      <c r="BL82" s="209">
        <f>'Base tabelas'!G61</f>
        <v>10</v>
      </c>
      <c r="BM82" s="209">
        <f>'Base tabelas'!H61</f>
        <v>59</v>
      </c>
      <c r="BN82" s="209" t="str">
        <f>'Base tabelas'!I61</f>
        <v>RFN - GOV SP - PM 3 PORTAB DIG</v>
      </c>
      <c r="BO82" s="209" t="str">
        <f>'Base tabelas'!J61</f>
        <v>1,44</v>
      </c>
      <c r="BP82" s="209">
        <f>'Base tabelas'!K61</f>
        <v>1.44E-2</v>
      </c>
      <c r="BQ82" s="277">
        <f t="shared" si="57"/>
        <v>2.5460674438442448E-2</v>
      </c>
      <c r="BR82" s="278">
        <f t="shared" si="58"/>
        <v>2.29E-2</v>
      </c>
      <c r="BS82" s="279">
        <v>2.9999999999999997E-4</v>
      </c>
      <c r="BU82" s="118" t="s">
        <v>239</v>
      </c>
      <c r="BV82" s="161">
        <v>27</v>
      </c>
    </row>
    <row r="83" spans="3:74" hidden="1" x14ac:dyDescent="0.25">
      <c r="C83">
        <v>34</v>
      </c>
      <c r="D83" s="10">
        <f t="shared" ref="D83:D114" ca="1" si="91">EDATE(D82,1)</f>
        <v>46183</v>
      </c>
      <c r="E83" s="14">
        <f t="shared" ca="1" si="90"/>
        <v>30.184219064484957</v>
      </c>
      <c r="F83" s="14">
        <f t="shared" si="90"/>
        <v>0</v>
      </c>
      <c r="G83" s="14">
        <f t="shared" si="90"/>
        <v>0</v>
      </c>
      <c r="H83" s="14">
        <f t="shared" si="90"/>
        <v>0</v>
      </c>
      <c r="I83" s="14">
        <f t="shared" si="90"/>
        <v>0</v>
      </c>
      <c r="J83" s="14">
        <f t="shared" si="90"/>
        <v>0</v>
      </c>
      <c r="K83" s="14">
        <f t="shared" si="90"/>
        <v>0</v>
      </c>
      <c r="L83" s="14">
        <f t="shared" si="90"/>
        <v>0</v>
      </c>
      <c r="M83" s="14">
        <f t="shared" si="90"/>
        <v>0</v>
      </c>
      <c r="N83" s="14">
        <f t="shared" si="90"/>
        <v>0</v>
      </c>
      <c r="O83" s="224"/>
      <c r="P83" s="284"/>
      <c r="Q83" s="161">
        <v>65</v>
      </c>
      <c r="R83" s="161">
        <f t="shared" si="47"/>
        <v>56.62</v>
      </c>
      <c r="S83" s="161">
        <f t="shared" si="48"/>
        <v>0</v>
      </c>
      <c r="T83" s="161">
        <f t="shared" si="49"/>
        <v>0</v>
      </c>
      <c r="U83" s="161">
        <f t="shared" si="50"/>
        <v>0</v>
      </c>
      <c r="V83" s="161">
        <f t="shared" si="51"/>
        <v>0</v>
      </c>
      <c r="W83" s="161">
        <f t="shared" si="52"/>
        <v>0</v>
      </c>
      <c r="X83" s="161">
        <f t="shared" si="53"/>
        <v>0</v>
      </c>
      <c r="Y83" s="161">
        <f t="shared" si="54"/>
        <v>0</v>
      </c>
      <c r="Z83" s="161">
        <f t="shared" si="55"/>
        <v>0</v>
      </c>
      <c r="AA83" s="161">
        <f t="shared" si="56"/>
        <v>0</v>
      </c>
      <c r="AB83" s="161"/>
      <c r="AC83" s="168">
        <v>65</v>
      </c>
      <c r="AD83" s="213">
        <f t="shared" ca="1" si="39"/>
        <v>47128</v>
      </c>
      <c r="AE83" s="260">
        <f t="shared" ref="AE83:AE102" si="92">SUM(R83:AA83)</f>
        <v>56.62</v>
      </c>
      <c r="AF83" s="168"/>
      <c r="AG83" s="233">
        <v>65</v>
      </c>
      <c r="AH83" s="213">
        <f t="shared" ca="1" si="40"/>
        <v>47128</v>
      </c>
      <c r="AI83" s="260">
        <f t="shared" ca="1" si="35"/>
        <v>619.79</v>
      </c>
      <c r="AJ83" s="215">
        <f t="shared" ca="1" si="36"/>
        <v>180.17205043456465</v>
      </c>
      <c r="AK83" s="168">
        <v>65</v>
      </c>
      <c r="AL83" s="213">
        <f t="shared" ca="1" si="41"/>
        <v>47128</v>
      </c>
      <c r="AM83" s="260">
        <f t="shared" ca="1" si="37"/>
        <v>676.41</v>
      </c>
      <c r="AO83" s="161">
        <v>65</v>
      </c>
      <c r="AP83" s="117">
        <f t="shared" ref="AP83:AP102" si="93">IF($Q83&lt;=E$17,E$18,0)</f>
        <v>56.62</v>
      </c>
      <c r="AQ83" s="117">
        <f t="shared" ref="AQ83:AQ102" si="94">IF($Q83&lt;=F$17,F$18,0)</f>
        <v>0</v>
      </c>
      <c r="AR83" s="117">
        <f t="shared" ref="AR83:AR102" si="95">IF($Q83&lt;=G$17,G$18,0)</f>
        <v>0</v>
      </c>
      <c r="AS83" s="161">
        <f t="shared" ref="AS83:AS102" si="96">IF($Q83&lt;=H$17,H$18,0)</f>
        <v>0</v>
      </c>
      <c r="AT83" s="161">
        <f t="shared" ref="AT83:AT102" si="97">IF($Q83&lt;=I$17,I$18,0)</f>
        <v>0</v>
      </c>
      <c r="AU83" s="161">
        <f t="shared" ref="AU83:AU102" si="98">IF($Q83&lt;=J$17,J$18,0)</f>
        <v>0</v>
      </c>
      <c r="AV83" s="161">
        <f t="shared" ref="AV83:AV102" si="99">IF($Q83&lt;=K$17,K$18,0)</f>
        <v>0</v>
      </c>
      <c r="AW83" s="161">
        <f t="shared" ref="AW83:AW102" si="100">IF($Q83&lt;=L$17,L$18,0)</f>
        <v>0</v>
      </c>
      <c r="AX83" s="161">
        <f t="shared" ref="AX83:AX102" si="101">IF($Q83&lt;=M$17,M$18,0)</f>
        <v>0</v>
      </c>
      <c r="AY83" s="161">
        <f t="shared" ref="AY83:AY102" si="102">IF($Q83&lt;=N$17,N$18,0)</f>
        <v>0</v>
      </c>
      <c r="BD83" s="186" t="str">
        <f t="shared" si="86"/>
        <v>4GOV SP PM PORT</v>
      </c>
      <c r="BE83" s="186">
        <f t="shared" si="87"/>
        <v>4</v>
      </c>
      <c r="BF83" s="209" t="str">
        <f>'Base tabelas'!A62</f>
        <v>GOV SP PM PORT</v>
      </c>
      <c r="BG83" s="209" t="str">
        <f>'Base tabelas'!B62</f>
        <v>705174 - Tabela 4</v>
      </c>
      <c r="BH83" s="209">
        <f>'Base tabelas'!C62</f>
        <v>1.9900000000000001E-2</v>
      </c>
      <c r="BI83" s="209">
        <f>'Base tabelas'!D62</f>
        <v>96</v>
      </c>
      <c r="BJ83" s="209" t="str">
        <f>'Base tabelas'!E62</f>
        <v/>
      </c>
      <c r="BK83" s="209">
        <f>'Base tabelas'!F62</f>
        <v>2.29</v>
      </c>
      <c r="BL83" s="209">
        <f>'Base tabelas'!G62</f>
        <v>10</v>
      </c>
      <c r="BM83" s="209">
        <f>'Base tabelas'!H62</f>
        <v>52</v>
      </c>
      <c r="BN83" s="209" t="str">
        <f>'Base tabelas'!I62</f>
        <v>RFN - GOV SP - PM 4 PORTAB DIG</v>
      </c>
      <c r="BO83" s="209" t="str">
        <f>'Base tabelas'!J62</f>
        <v>1,44</v>
      </c>
      <c r="BP83" s="209">
        <f>'Base tabelas'!K62</f>
        <v>1.44E-2</v>
      </c>
      <c r="BQ83" s="277">
        <f t="shared" si="57"/>
        <v>2.449288600732933E-2</v>
      </c>
      <c r="BR83" s="278">
        <f t="shared" si="58"/>
        <v>2.29E-2</v>
      </c>
      <c r="BS83" s="279">
        <v>2.9999999999999997E-4</v>
      </c>
      <c r="BU83" s="118" t="s">
        <v>243</v>
      </c>
      <c r="BV83" s="161">
        <v>44</v>
      </c>
    </row>
    <row r="84" spans="3:74" hidden="1" x14ac:dyDescent="0.25">
      <c r="C84">
        <v>35</v>
      </c>
      <c r="D84" s="10">
        <f t="shared" ca="1" si="91"/>
        <v>46213</v>
      </c>
      <c r="E84" s="14">
        <f t="shared" ca="1" si="90"/>
        <v>29.627663407377369</v>
      </c>
      <c r="F84" s="14">
        <f t="shared" si="90"/>
        <v>0</v>
      </c>
      <c r="G84" s="14">
        <f t="shared" si="90"/>
        <v>0</v>
      </c>
      <c r="H84" s="14">
        <f t="shared" si="90"/>
        <v>0</v>
      </c>
      <c r="I84" s="14">
        <f t="shared" si="90"/>
        <v>0</v>
      </c>
      <c r="J84" s="14">
        <f t="shared" si="90"/>
        <v>0</v>
      </c>
      <c r="K84" s="14">
        <f t="shared" si="90"/>
        <v>0</v>
      </c>
      <c r="L84" s="14">
        <f t="shared" si="90"/>
        <v>0</v>
      </c>
      <c r="M84" s="14">
        <f t="shared" si="90"/>
        <v>0</v>
      </c>
      <c r="N84" s="14">
        <f t="shared" si="90"/>
        <v>0</v>
      </c>
      <c r="O84" s="224"/>
      <c r="P84" s="284"/>
      <c r="Q84" s="161">
        <v>66</v>
      </c>
      <c r="R84" s="161">
        <f t="shared" si="47"/>
        <v>56.62</v>
      </c>
      <c r="S84" s="161">
        <f t="shared" si="48"/>
        <v>0</v>
      </c>
      <c r="T84" s="161">
        <f t="shared" si="49"/>
        <v>0</v>
      </c>
      <c r="U84" s="161">
        <f t="shared" si="50"/>
        <v>0</v>
      </c>
      <c r="V84" s="161">
        <f t="shared" si="51"/>
        <v>0</v>
      </c>
      <c r="W84" s="161">
        <f t="shared" si="52"/>
        <v>0</v>
      </c>
      <c r="X84" s="161">
        <f t="shared" si="53"/>
        <v>0</v>
      </c>
      <c r="Y84" s="161">
        <f t="shared" si="54"/>
        <v>0</v>
      </c>
      <c r="Z84" s="161">
        <f t="shared" si="55"/>
        <v>0</v>
      </c>
      <c r="AA84" s="161">
        <f t="shared" si="56"/>
        <v>0</v>
      </c>
      <c r="AB84" s="161"/>
      <c r="AC84" s="168">
        <v>66</v>
      </c>
      <c r="AD84" s="213">
        <f t="shared" ca="1" si="39"/>
        <v>47159</v>
      </c>
      <c r="AE84" s="260">
        <f t="shared" si="92"/>
        <v>56.62</v>
      </c>
      <c r="AF84" s="168"/>
      <c r="AG84" s="233">
        <v>66</v>
      </c>
      <c r="AH84" s="213">
        <f t="shared" ca="1" si="40"/>
        <v>47159</v>
      </c>
      <c r="AI84" s="260">
        <f t="shared" ref="AI84:AI147" ca="1" si="103">IF(AG84&gt;$AM$14,0,AM84-AE84)</f>
        <v>619.79</v>
      </c>
      <c r="AJ84" s="215">
        <f t="shared" ref="AJ84:AJ147" ca="1" si="104">AI84/(1+$AI$15)^((AH84-$AH$18)/30)</f>
        <v>176.68379790258501</v>
      </c>
      <c r="AK84" s="168">
        <v>66</v>
      </c>
      <c r="AL84" s="213">
        <f t="shared" ca="1" si="41"/>
        <v>47159</v>
      </c>
      <c r="AM84" s="260">
        <f t="shared" ref="AM84:AM147" ca="1" si="105">IF(AK84&gt;$AM$14,0,$AM$13)</f>
        <v>676.41</v>
      </c>
      <c r="AO84" s="161">
        <v>66</v>
      </c>
      <c r="AP84" s="117">
        <f t="shared" si="93"/>
        <v>56.62</v>
      </c>
      <c r="AQ84" s="117">
        <f t="shared" si="94"/>
        <v>0</v>
      </c>
      <c r="AR84" s="117">
        <f t="shared" si="95"/>
        <v>0</v>
      </c>
      <c r="AS84" s="161">
        <f t="shared" si="96"/>
        <v>0</v>
      </c>
      <c r="AT84" s="161">
        <f t="shared" si="97"/>
        <v>0</v>
      </c>
      <c r="AU84" s="161">
        <f t="shared" si="98"/>
        <v>0</v>
      </c>
      <c r="AV84" s="161">
        <f t="shared" si="99"/>
        <v>0</v>
      </c>
      <c r="AW84" s="161">
        <f t="shared" si="100"/>
        <v>0</v>
      </c>
      <c r="AX84" s="161">
        <f t="shared" si="101"/>
        <v>0</v>
      </c>
      <c r="AY84" s="161">
        <f t="shared" si="102"/>
        <v>0</v>
      </c>
      <c r="BD84" s="186" t="str">
        <f t="shared" si="86"/>
        <v>5GOV SP PM PORT</v>
      </c>
      <c r="BE84" s="186">
        <f t="shared" si="87"/>
        <v>5</v>
      </c>
      <c r="BF84" s="209" t="str">
        <f>'Base tabelas'!A63</f>
        <v>GOV SP PM PORT</v>
      </c>
      <c r="BG84" s="209" t="str">
        <f>'Base tabelas'!B63</f>
        <v>705189 - Tabela 5</v>
      </c>
      <c r="BH84" s="209">
        <f>'Base tabelas'!C63</f>
        <v>1.8500000000000003E-2</v>
      </c>
      <c r="BI84" s="209">
        <f>'Base tabelas'!D63</f>
        <v>96</v>
      </c>
      <c r="BJ84" s="209" t="str">
        <f>'Base tabelas'!E63</f>
        <v/>
      </c>
      <c r="BK84" s="209">
        <f>'Base tabelas'!F63</f>
        <v>2.29</v>
      </c>
      <c r="BL84" s="209">
        <f>'Base tabelas'!G63</f>
        <v>10</v>
      </c>
      <c r="BM84" s="209">
        <f>'Base tabelas'!H63</f>
        <v>47</v>
      </c>
      <c r="BN84" s="209" t="str">
        <f>'Base tabelas'!I63</f>
        <v>RFN - GOV SP - PM 5 PORTAB DIG</v>
      </c>
      <c r="BO84" s="209" t="str">
        <f>'Base tabelas'!J63</f>
        <v>1,44</v>
      </c>
      <c r="BP84" s="209">
        <f>'Base tabelas'!K63</f>
        <v>1.44E-2</v>
      </c>
      <c r="BQ84" s="277">
        <f t="shared" si="57"/>
        <v>2.32597834589468E-2</v>
      </c>
      <c r="BR84" s="278">
        <f t="shared" si="58"/>
        <v>2.29E-2</v>
      </c>
      <c r="BS84" s="279">
        <v>2.9999999999999997E-4</v>
      </c>
      <c r="BU84" s="118" t="s">
        <v>246</v>
      </c>
      <c r="BV84" s="161">
        <v>51.91616766467066</v>
      </c>
    </row>
    <row r="85" spans="3:74" hidden="1" x14ac:dyDescent="0.25">
      <c r="C85">
        <v>36</v>
      </c>
      <c r="D85" s="10">
        <f t="shared" ca="1" si="91"/>
        <v>46244</v>
      </c>
      <c r="E85" s="14">
        <f t="shared" ca="1" si="90"/>
        <v>29.06333460778977</v>
      </c>
      <c r="F85" s="14">
        <f t="shared" si="90"/>
        <v>0</v>
      </c>
      <c r="G85" s="14">
        <f t="shared" si="90"/>
        <v>0</v>
      </c>
      <c r="H85" s="14">
        <f t="shared" si="90"/>
        <v>0</v>
      </c>
      <c r="I85" s="14">
        <f t="shared" si="90"/>
        <v>0</v>
      </c>
      <c r="J85" s="14">
        <f t="shared" si="90"/>
        <v>0</v>
      </c>
      <c r="K85" s="14">
        <f t="shared" si="90"/>
        <v>0</v>
      </c>
      <c r="L85" s="14">
        <f t="shared" si="90"/>
        <v>0</v>
      </c>
      <c r="M85" s="14">
        <f t="shared" si="90"/>
        <v>0</v>
      </c>
      <c r="N85" s="14">
        <f t="shared" si="90"/>
        <v>0</v>
      </c>
      <c r="O85" s="224"/>
      <c r="P85" s="284"/>
      <c r="Q85" s="161">
        <v>67</v>
      </c>
      <c r="R85" s="161">
        <f t="shared" si="47"/>
        <v>56.62</v>
      </c>
      <c r="S85" s="161">
        <f t="shared" si="48"/>
        <v>0</v>
      </c>
      <c r="T85" s="161">
        <f t="shared" si="49"/>
        <v>0</v>
      </c>
      <c r="U85" s="161">
        <f t="shared" si="50"/>
        <v>0</v>
      </c>
      <c r="V85" s="161">
        <f t="shared" si="51"/>
        <v>0</v>
      </c>
      <c r="W85" s="161">
        <f t="shared" si="52"/>
        <v>0</v>
      </c>
      <c r="X85" s="161">
        <f t="shared" si="53"/>
        <v>0</v>
      </c>
      <c r="Y85" s="161">
        <f t="shared" si="54"/>
        <v>0</v>
      </c>
      <c r="Z85" s="161">
        <f t="shared" si="55"/>
        <v>0</v>
      </c>
      <c r="AA85" s="161">
        <f t="shared" si="56"/>
        <v>0</v>
      </c>
      <c r="AB85" s="161"/>
      <c r="AC85" s="168">
        <v>67</v>
      </c>
      <c r="AD85" s="213">
        <f t="shared" ca="1" si="39"/>
        <v>47187</v>
      </c>
      <c r="AE85" s="260">
        <f t="shared" si="92"/>
        <v>56.62</v>
      </c>
      <c r="AF85" s="168"/>
      <c r="AG85" s="233">
        <v>67</v>
      </c>
      <c r="AH85" s="213">
        <f t="shared" ca="1" si="40"/>
        <v>47187</v>
      </c>
      <c r="AI85" s="260">
        <f t="shared" ca="1" si="103"/>
        <v>619.79</v>
      </c>
      <c r="AJ85" s="215">
        <f t="shared" ca="1" si="104"/>
        <v>173.59120235110461</v>
      </c>
      <c r="AK85" s="168">
        <v>67</v>
      </c>
      <c r="AL85" s="213">
        <f t="shared" ca="1" si="41"/>
        <v>47187</v>
      </c>
      <c r="AM85" s="260">
        <f t="shared" ca="1" si="105"/>
        <v>676.41</v>
      </c>
      <c r="AO85" s="161">
        <v>67</v>
      </c>
      <c r="AP85" s="117">
        <f t="shared" si="93"/>
        <v>56.62</v>
      </c>
      <c r="AQ85" s="117">
        <f t="shared" si="94"/>
        <v>0</v>
      </c>
      <c r="AR85" s="117">
        <f t="shared" si="95"/>
        <v>0</v>
      </c>
      <c r="AS85" s="161">
        <f t="shared" si="96"/>
        <v>0</v>
      </c>
      <c r="AT85" s="161">
        <f t="shared" si="97"/>
        <v>0</v>
      </c>
      <c r="AU85" s="161">
        <f t="shared" si="98"/>
        <v>0</v>
      </c>
      <c r="AV85" s="161">
        <f t="shared" si="99"/>
        <v>0</v>
      </c>
      <c r="AW85" s="161">
        <f t="shared" si="100"/>
        <v>0</v>
      </c>
      <c r="AX85" s="161">
        <f t="shared" si="101"/>
        <v>0</v>
      </c>
      <c r="AY85" s="161">
        <f t="shared" si="102"/>
        <v>0</v>
      </c>
      <c r="BD85" s="186" t="str">
        <f t="shared" si="86"/>
        <v>1GOV. MS</v>
      </c>
      <c r="BE85" s="186">
        <f t="shared" si="87"/>
        <v>1</v>
      </c>
      <c r="BF85" s="209" t="str">
        <f>'Base tabelas'!A64</f>
        <v>GOV. MS</v>
      </c>
      <c r="BG85" s="209" t="str">
        <f>'Base tabelas'!B64</f>
        <v>705276 - Tabela 1</v>
      </c>
      <c r="BH85" s="209">
        <f>'Base tabelas'!C64</f>
        <v>1.9E-2</v>
      </c>
      <c r="BI85" s="209">
        <f>'Base tabelas'!D64</f>
        <v>120</v>
      </c>
      <c r="BJ85" s="209" t="str">
        <f>'Base tabelas'!E64</f>
        <v/>
      </c>
      <c r="BK85" s="209">
        <f>'Base tabelas'!F64</f>
        <v>2.1</v>
      </c>
      <c r="BL85" s="209">
        <f>'Base tabelas'!G64</f>
        <v>5</v>
      </c>
      <c r="BM85" s="209">
        <f>'Base tabelas'!H64</f>
        <v>68</v>
      </c>
      <c r="BN85" s="209" t="str">
        <f>'Base tabelas'!I64</f>
        <v>RFN - GOV. MS DIG 1 PORTAB</v>
      </c>
      <c r="BO85" s="209" t="str">
        <f>'Base tabelas'!J64</f>
        <v>1,55</v>
      </c>
      <c r="BP85" s="209">
        <f>'Base tabelas'!K64</f>
        <v>1.55E-2</v>
      </c>
      <c r="BQ85" s="277">
        <f t="shared" si="57"/>
        <v>2.2384568748412749E-2</v>
      </c>
      <c r="BR85" s="278">
        <f t="shared" si="58"/>
        <v>2.1000000000000001E-2</v>
      </c>
      <c r="BS85" s="279">
        <v>2.9999999999999997E-4</v>
      </c>
    </row>
    <row r="86" spans="3:74" hidden="1" x14ac:dyDescent="0.25">
      <c r="C86">
        <v>37</v>
      </c>
      <c r="D86" s="10">
        <f t="shared" ca="1" si="91"/>
        <v>46275</v>
      </c>
      <c r="E86" s="14">
        <f t="shared" ca="1" si="90"/>
        <v>28.509754782553106</v>
      </c>
      <c r="F86" s="14">
        <f t="shared" si="90"/>
        <v>0</v>
      </c>
      <c r="G86" s="14">
        <f t="shared" si="90"/>
        <v>0</v>
      </c>
      <c r="H86" s="14">
        <f t="shared" si="90"/>
        <v>0</v>
      </c>
      <c r="I86" s="14">
        <f t="shared" si="90"/>
        <v>0</v>
      </c>
      <c r="J86" s="14">
        <f t="shared" si="90"/>
        <v>0</v>
      </c>
      <c r="K86" s="14">
        <f t="shared" si="90"/>
        <v>0</v>
      </c>
      <c r="L86" s="14">
        <f t="shared" si="90"/>
        <v>0</v>
      </c>
      <c r="M86" s="14">
        <f t="shared" si="90"/>
        <v>0</v>
      </c>
      <c r="N86" s="14">
        <f t="shared" si="90"/>
        <v>0</v>
      </c>
      <c r="O86" s="224"/>
      <c r="P86" s="284"/>
      <c r="Q86" s="161">
        <v>68</v>
      </c>
      <c r="R86" s="161">
        <f t="shared" si="47"/>
        <v>56.62</v>
      </c>
      <c r="S86" s="161">
        <f t="shared" si="48"/>
        <v>0</v>
      </c>
      <c r="T86" s="161">
        <f t="shared" si="49"/>
        <v>0</v>
      </c>
      <c r="U86" s="161">
        <f t="shared" si="50"/>
        <v>0</v>
      </c>
      <c r="V86" s="161">
        <f t="shared" si="51"/>
        <v>0</v>
      </c>
      <c r="W86" s="161">
        <f t="shared" si="52"/>
        <v>0</v>
      </c>
      <c r="X86" s="161">
        <f t="shared" si="53"/>
        <v>0</v>
      </c>
      <c r="Y86" s="161">
        <f t="shared" si="54"/>
        <v>0</v>
      </c>
      <c r="Z86" s="161">
        <f t="shared" si="55"/>
        <v>0</v>
      </c>
      <c r="AA86" s="161">
        <f t="shared" si="56"/>
        <v>0</v>
      </c>
      <c r="AB86" s="161"/>
      <c r="AC86" s="168">
        <v>68</v>
      </c>
      <c r="AD86" s="213">
        <f t="shared" ref="AD86:AD149" ca="1" si="106">EDATE(AD85,1)</f>
        <v>47218</v>
      </c>
      <c r="AE86" s="260">
        <f t="shared" si="92"/>
        <v>56.62</v>
      </c>
      <c r="AF86" s="168"/>
      <c r="AG86" s="233">
        <v>68</v>
      </c>
      <c r="AH86" s="213">
        <f t="shared" ref="AH86:AH149" ca="1" si="107">EDATE(AH85,1)</f>
        <v>47218</v>
      </c>
      <c r="AI86" s="260">
        <f t="shared" ca="1" si="103"/>
        <v>619.79</v>
      </c>
      <c r="AJ86" s="215">
        <f t="shared" ca="1" si="104"/>
        <v>170.23035948080297</v>
      </c>
      <c r="AK86" s="168">
        <v>68</v>
      </c>
      <c r="AL86" s="213">
        <f t="shared" ref="AL86:AL149" ca="1" si="108">EDATE(AL85,1)</f>
        <v>47218</v>
      </c>
      <c r="AM86" s="260">
        <f t="shared" ca="1" si="105"/>
        <v>676.41</v>
      </c>
      <c r="AO86" s="161">
        <v>68</v>
      </c>
      <c r="AP86" s="117">
        <f t="shared" si="93"/>
        <v>56.62</v>
      </c>
      <c r="AQ86" s="117">
        <f t="shared" si="94"/>
        <v>0</v>
      </c>
      <c r="AR86" s="117">
        <f t="shared" si="95"/>
        <v>0</v>
      </c>
      <c r="AS86" s="161">
        <f t="shared" si="96"/>
        <v>0</v>
      </c>
      <c r="AT86" s="161">
        <f t="shared" si="97"/>
        <v>0</v>
      </c>
      <c r="AU86" s="161">
        <f t="shared" si="98"/>
        <v>0</v>
      </c>
      <c r="AV86" s="161">
        <f t="shared" si="99"/>
        <v>0</v>
      </c>
      <c r="AW86" s="161">
        <f t="shared" si="100"/>
        <v>0</v>
      </c>
      <c r="AX86" s="161">
        <f t="shared" si="101"/>
        <v>0</v>
      </c>
      <c r="AY86" s="161">
        <f t="shared" si="102"/>
        <v>0</v>
      </c>
      <c r="BD86" s="186" t="str">
        <f t="shared" si="86"/>
        <v>2GOV. MS</v>
      </c>
      <c r="BE86" s="186">
        <f t="shared" si="87"/>
        <v>2</v>
      </c>
      <c r="BF86" s="209" t="str">
        <f>'Base tabelas'!A65</f>
        <v>GOV. MS</v>
      </c>
      <c r="BG86" s="209" t="str">
        <f>'Base tabelas'!B65</f>
        <v>705277 - Tabela 2</v>
      </c>
      <c r="BH86" s="209">
        <f>'Base tabelas'!C65</f>
        <v>1.8500000000000003E-2</v>
      </c>
      <c r="BI86" s="209">
        <f>'Base tabelas'!D65</f>
        <v>120</v>
      </c>
      <c r="BJ86" s="209" t="str">
        <f>'Base tabelas'!E65</f>
        <v/>
      </c>
      <c r="BK86" s="209">
        <f>'Base tabelas'!F65</f>
        <v>2.1</v>
      </c>
      <c r="BL86" s="209">
        <f>'Base tabelas'!G65</f>
        <v>5</v>
      </c>
      <c r="BM86" s="209">
        <f>'Base tabelas'!H65</f>
        <v>76</v>
      </c>
      <c r="BN86" s="209" t="str">
        <f>'Base tabelas'!I65</f>
        <v>RFN - GOV. MS DIG 2 PORTAB</v>
      </c>
      <c r="BO86" s="209" t="str">
        <f>'Base tabelas'!J65</f>
        <v>1,55</v>
      </c>
      <c r="BP86" s="209">
        <f>'Base tabelas'!K65</f>
        <v>1.55E-2</v>
      </c>
      <c r="BQ86" s="277">
        <f t="shared" si="57"/>
        <v>2.2044744510534047E-2</v>
      </c>
      <c r="BR86" s="278">
        <f t="shared" si="58"/>
        <v>2.1000000000000001E-2</v>
      </c>
      <c r="BS86" s="279">
        <v>2.9999999999999997E-4</v>
      </c>
    </row>
    <row r="87" spans="3:74" hidden="1" x14ac:dyDescent="0.25">
      <c r="C87">
        <v>38</v>
      </c>
      <c r="D87" s="10">
        <f t="shared" ca="1" si="91"/>
        <v>46305</v>
      </c>
      <c r="E87" s="14">
        <f t="shared" ca="1" si="90"/>
        <v>27.984073953339621</v>
      </c>
      <c r="F87" s="14">
        <f t="shared" si="90"/>
        <v>0</v>
      </c>
      <c r="G87" s="14">
        <f t="shared" si="90"/>
        <v>0</v>
      </c>
      <c r="H87" s="14">
        <f t="shared" si="90"/>
        <v>0</v>
      </c>
      <c r="I87" s="14">
        <f t="shared" si="90"/>
        <v>0</v>
      </c>
      <c r="J87" s="14">
        <f t="shared" si="90"/>
        <v>0</v>
      </c>
      <c r="K87" s="14">
        <f t="shared" si="90"/>
        <v>0</v>
      </c>
      <c r="L87" s="14">
        <f t="shared" si="90"/>
        <v>0</v>
      </c>
      <c r="M87" s="14">
        <f t="shared" si="90"/>
        <v>0</v>
      </c>
      <c r="N87" s="14">
        <f t="shared" si="90"/>
        <v>0</v>
      </c>
      <c r="O87" s="224"/>
      <c r="P87" s="284"/>
      <c r="Q87" s="161">
        <v>69</v>
      </c>
      <c r="R87" s="161">
        <f t="shared" si="47"/>
        <v>56.62</v>
      </c>
      <c r="S87" s="161">
        <f t="shared" si="48"/>
        <v>0</v>
      </c>
      <c r="T87" s="161">
        <f t="shared" si="49"/>
        <v>0</v>
      </c>
      <c r="U87" s="161">
        <f t="shared" si="50"/>
        <v>0</v>
      </c>
      <c r="V87" s="161">
        <f t="shared" si="51"/>
        <v>0</v>
      </c>
      <c r="W87" s="161">
        <f t="shared" si="52"/>
        <v>0</v>
      </c>
      <c r="X87" s="161">
        <f t="shared" si="53"/>
        <v>0</v>
      </c>
      <c r="Y87" s="161">
        <f t="shared" si="54"/>
        <v>0</v>
      </c>
      <c r="Z87" s="161">
        <f t="shared" si="55"/>
        <v>0</v>
      </c>
      <c r="AA87" s="161">
        <f t="shared" si="56"/>
        <v>0</v>
      </c>
      <c r="AB87" s="161"/>
      <c r="AC87" s="168">
        <v>69</v>
      </c>
      <c r="AD87" s="213">
        <f t="shared" ca="1" si="106"/>
        <v>47248</v>
      </c>
      <c r="AE87" s="260">
        <f t="shared" si="92"/>
        <v>56.62</v>
      </c>
      <c r="AF87" s="168"/>
      <c r="AG87" s="233">
        <v>69</v>
      </c>
      <c r="AH87" s="213">
        <f t="shared" ca="1" si="107"/>
        <v>47248</v>
      </c>
      <c r="AI87" s="260">
        <f t="shared" ca="1" si="103"/>
        <v>619.79</v>
      </c>
      <c r="AJ87" s="215">
        <f t="shared" ca="1" si="104"/>
        <v>167.03989743970462</v>
      </c>
      <c r="AK87" s="168">
        <v>69</v>
      </c>
      <c r="AL87" s="213">
        <f t="shared" ca="1" si="108"/>
        <v>47248</v>
      </c>
      <c r="AM87" s="260">
        <f t="shared" ca="1" si="105"/>
        <v>676.41</v>
      </c>
      <c r="AO87" s="161">
        <v>69</v>
      </c>
      <c r="AP87" s="117">
        <f t="shared" si="93"/>
        <v>56.62</v>
      </c>
      <c r="AQ87" s="117">
        <f t="shared" si="94"/>
        <v>0</v>
      </c>
      <c r="AR87" s="117">
        <f t="shared" si="95"/>
        <v>0</v>
      </c>
      <c r="AS87" s="161">
        <f t="shared" si="96"/>
        <v>0</v>
      </c>
      <c r="AT87" s="161">
        <f t="shared" si="97"/>
        <v>0</v>
      </c>
      <c r="AU87" s="161">
        <f t="shared" si="98"/>
        <v>0</v>
      </c>
      <c r="AV87" s="161">
        <f t="shared" si="99"/>
        <v>0</v>
      </c>
      <c r="AW87" s="161">
        <f t="shared" si="100"/>
        <v>0</v>
      </c>
      <c r="AX87" s="161">
        <f t="shared" si="101"/>
        <v>0</v>
      </c>
      <c r="AY87" s="161">
        <f t="shared" si="102"/>
        <v>0</v>
      </c>
      <c r="BD87" s="186" t="str">
        <f t="shared" ref="BD87:BD118" si="109">CONCATENATE(BE87,BF87)</f>
        <v>3GOV. MS</v>
      </c>
      <c r="BE87" s="186">
        <f t="shared" ref="BE87:BE118" si="110">IF(BF87=BF86,BE86+1,1)</f>
        <v>3</v>
      </c>
      <c r="BF87" s="209" t="str">
        <f>'Base tabelas'!A66</f>
        <v>GOV. MS</v>
      </c>
      <c r="BG87" s="209" t="str">
        <f>'Base tabelas'!B66</f>
        <v>705278 - Tabela 3</v>
      </c>
      <c r="BH87" s="209">
        <f>'Base tabelas'!C66</f>
        <v>1.8000000000000002E-2</v>
      </c>
      <c r="BI87" s="209">
        <f>'Base tabelas'!D66</f>
        <v>120</v>
      </c>
      <c r="BJ87" s="209" t="str">
        <f>'Base tabelas'!E66</f>
        <v/>
      </c>
      <c r="BK87" s="209">
        <f>'Base tabelas'!F66</f>
        <v>2.1</v>
      </c>
      <c r="BL87" s="209">
        <f>'Base tabelas'!G66</f>
        <v>5</v>
      </c>
      <c r="BM87" s="209">
        <f>'Base tabelas'!H66</f>
        <v>70</v>
      </c>
      <c r="BN87" s="209" t="str">
        <f>'Base tabelas'!I66</f>
        <v>RFN - GOV. MS DIG 3 PORTAB</v>
      </c>
      <c r="BO87" s="209" t="str">
        <f>'Base tabelas'!J66</f>
        <v>1,55</v>
      </c>
      <c r="BP87" s="209">
        <f>'Base tabelas'!K66</f>
        <v>1.55E-2</v>
      </c>
      <c r="BQ87" s="277">
        <f t="shared" si="57"/>
        <v>2.1519269729047531E-2</v>
      </c>
      <c r="BR87" s="278">
        <f t="shared" si="58"/>
        <v>2.1000000000000001E-2</v>
      </c>
      <c r="BS87" s="279">
        <v>2.9999999999999997E-4</v>
      </c>
    </row>
    <row r="88" spans="3:74" hidden="1" x14ac:dyDescent="0.25">
      <c r="C88">
        <v>39</v>
      </c>
      <c r="D88" s="10">
        <f t="shared" ca="1" si="91"/>
        <v>46336</v>
      </c>
      <c r="E88" s="14">
        <f t="shared" ca="1" si="90"/>
        <v>27.451051195367878</v>
      </c>
      <c r="F88" s="14">
        <f t="shared" si="90"/>
        <v>0</v>
      </c>
      <c r="G88" s="14">
        <f t="shared" si="90"/>
        <v>0</v>
      </c>
      <c r="H88" s="14">
        <f t="shared" si="90"/>
        <v>0</v>
      </c>
      <c r="I88" s="14">
        <f t="shared" si="90"/>
        <v>0</v>
      </c>
      <c r="J88" s="14">
        <f t="shared" si="90"/>
        <v>0</v>
      </c>
      <c r="K88" s="14">
        <f t="shared" si="90"/>
        <v>0</v>
      </c>
      <c r="L88" s="14">
        <f t="shared" si="90"/>
        <v>0</v>
      </c>
      <c r="M88" s="14">
        <f t="shared" si="90"/>
        <v>0</v>
      </c>
      <c r="N88" s="14">
        <f t="shared" si="90"/>
        <v>0</v>
      </c>
      <c r="O88" s="224"/>
      <c r="P88" s="284"/>
      <c r="Q88" s="161">
        <v>70</v>
      </c>
      <c r="R88" s="161">
        <f t="shared" si="47"/>
        <v>0</v>
      </c>
      <c r="S88" s="161">
        <f t="shared" si="48"/>
        <v>0</v>
      </c>
      <c r="T88" s="161">
        <f t="shared" si="49"/>
        <v>0</v>
      </c>
      <c r="U88" s="161">
        <f t="shared" si="50"/>
        <v>0</v>
      </c>
      <c r="V88" s="161">
        <f t="shared" si="51"/>
        <v>0</v>
      </c>
      <c r="W88" s="161">
        <f t="shared" si="52"/>
        <v>0</v>
      </c>
      <c r="X88" s="161">
        <f t="shared" si="53"/>
        <v>0</v>
      </c>
      <c r="Y88" s="161">
        <f t="shared" si="54"/>
        <v>0</v>
      </c>
      <c r="Z88" s="161">
        <f t="shared" si="55"/>
        <v>0</v>
      </c>
      <c r="AA88" s="161">
        <f t="shared" si="56"/>
        <v>0</v>
      </c>
      <c r="AB88" s="161"/>
      <c r="AC88" s="168">
        <v>70</v>
      </c>
      <c r="AD88" s="213">
        <f t="shared" ca="1" si="106"/>
        <v>47279</v>
      </c>
      <c r="AE88" s="260">
        <f t="shared" si="92"/>
        <v>0</v>
      </c>
      <c r="AF88" s="168"/>
      <c r="AG88" s="233">
        <v>70</v>
      </c>
      <c r="AH88" s="213">
        <f t="shared" ca="1" si="107"/>
        <v>47279</v>
      </c>
      <c r="AI88" s="260">
        <f t="shared" ca="1" si="103"/>
        <v>676.41</v>
      </c>
      <c r="AJ88" s="215">
        <f t="shared" ca="1" si="104"/>
        <v>178.77013759567672</v>
      </c>
      <c r="AK88" s="168">
        <v>70</v>
      </c>
      <c r="AL88" s="213">
        <f t="shared" ca="1" si="108"/>
        <v>47279</v>
      </c>
      <c r="AM88" s="260">
        <f t="shared" ca="1" si="105"/>
        <v>676.41</v>
      </c>
      <c r="AO88" s="161">
        <v>70</v>
      </c>
      <c r="AP88" s="117">
        <f t="shared" si="93"/>
        <v>0</v>
      </c>
      <c r="AQ88" s="117">
        <f t="shared" si="94"/>
        <v>0</v>
      </c>
      <c r="AR88" s="117">
        <f t="shared" si="95"/>
        <v>0</v>
      </c>
      <c r="AS88" s="161">
        <f t="shared" si="96"/>
        <v>0</v>
      </c>
      <c r="AT88" s="161">
        <f t="shared" si="97"/>
        <v>0</v>
      </c>
      <c r="AU88" s="161">
        <f t="shared" si="98"/>
        <v>0</v>
      </c>
      <c r="AV88" s="161">
        <f t="shared" si="99"/>
        <v>0</v>
      </c>
      <c r="AW88" s="161">
        <f t="shared" si="100"/>
        <v>0</v>
      </c>
      <c r="AX88" s="161">
        <f t="shared" si="101"/>
        <v>0</v>
      </c>
      <c r="AY88" s="161">
        <f t="shared" si="102"/>
        <v>0</v>
      </c>
      <c r="BD88" s="186" t="str">
        <f t="shared" si="109"/>
        <v>1GOV. PIAUI</v>
      </c>
      <c r="BE88" s="186">
        <f t="shared" si="110"/>
        <v>1</v>
      </c>
      <c r="BF88" s="209" t="str">
        <f>'Base tabelas'!A67</f>
        <v>GOV. PIAUI</v>
      </c>
      <c r="BG88" s="209" t="str">
        <f>'Base tabelas'!B67</f>
        <v>785931 - Tabela 1</v>
      </c>
      <c r="BH88" s="209">
        <f>'Base tabelas'!C67</f>
        <v>1.95E-2</v>
      </c>
      <c r="BI88" s="209">
        <f>'Base tabelas'!D67</f>
        <v>96</v>
      </c>
      <c r="BJ88" s="209" t="str">
        <f>'Base tabelas'!E67</f>
        <v/>
      </c>
      <c r="BK88" s="209">
        <f>'Base tabelas'!F67</f>
        <v>2.4</v>
      </c>
      <c r="BL88" s="209">
        <f>'Base tabelas'!G67</f>
        <v>10</v>
      </c>
      <c r="BM88" s="209">
        <f>'Base tabelas'!H67</f>
        <v>65</v>
      </c>
      <c r="BN88" s="209" t="str">
        <f>'Base tabelas'!I67</f>
        <v>RFN - GOV PIAUI 1 DIG PORTAB</v>
      </c>
      <c r="BO88" s="209" t="str">
        <f>'Base tabelas'!J67</f>
        <v>1,7</v>
      </c>
      <c r="BP88" s="209">
        <f>'Base tabelas'!K67</f>
        <v>1.7000000000000001E-2</v>
      </c>
      <c r="BQ88" s="277">
        <f t="shared" si="57"/>
        <v>2.4361350281519034E-2</v>
      </c>
      <c r="BR88" s="278">
        <f t="shared" si="58"/>
        <v>2.4E-2</v>
      </c>
      <c r="BS88" s="279">
        <v>2.9999999999999997E-4</v>
      </c>
    </row>
    <row r="89" spans="3:74" hidden="1" x14ac:dyDescent="0.25">
      <c r="C89">
        <v>40</v>
      </c>
      <c r="D89" s="10">
        <f t="shared" ca="1" si="91"/>
        <v>46366</v>
      </c>
      <c r="E89" s="14">
        <f t="shared" ca="1" si="90"/>
        <v>26.944891410226766</v>
      </c>
      <c r="F89" s="14">
        <f t="shared" si="90"/>
        <v>0</v>
      </c>
      <c r="G89" s="14">
        <f t="shared" si="90"/>
        <v>0</v>
      </c>
      <c r="H89" s="14">
        <f t="shared" si="90"/>
        <v>0</v>
      </c>
      <c r="I89" s="14">
        <f t="shared" si="90"/>
        <v>0</v>
      </c>
      <c r="J89" s="14">
        <f t="shared" si="90"/>
        <v>0</v>
      </c>
      <c r="K89" s="14">
        <f t="shared" si="90"/>
        <v>0</v>
      </c>
      <c r="L89" s="14">
        <f t="shared" si="90"/>
        <v>0</v>
      </c>
      <c r="M89" s="14">
        <f t="shared" si="90"/>
        <v>0</v>
      </c>
      <c r="N89" s="14">
        <f t="shared" si="90"/>
        <v>0</v>
      </c>
      <c r="O89" s="224"/>
      <c r="P89" s="284"/>
      <c r="Q89" s="161">
        <v>71</v>
      </c>
      <c r="R89" s="161">
        <f t="shared" ref="R89:R152" si="111">IF($Q89&lt;=E$17,E$18,0)</f>
        <v>0</v>
      </c>
      <c r="S89" s="161">
        <f t="shared" ref="S89:S114" si="112">IF($Q89&lt;=F$17,F$18,0)</f>
        <v>0</v>
      </c>
      <c r="T89" s="161">
        <f t="shared" ref="T89:T114" si="113">IF($Q89&lt;=G$17,G$18,0)</f>
        <v>0</v>
      </c>
      <c r="U89" s="161">
        <f t="shared" ref="U89:U114" si="114">IF($Q89&lt;=H$17,H$18,0)</f>
        <v>0</v>
      </c>
      <c r="V89" s="161">
        <f t="shared" ref="V89:V114" si="115">IF($Q89&lt;=I$17,I$18,0)</f>
        <v>0</v>
      </c>
      <c r="W89" s="161">
        <f t="shared" ref="W89:W114" si="116">IF($Q89&lt;=J$17,J$18,0)</f>
        <v>0</v>
      </c>
      <c r="X89" s="161">
        <f t="shared" ref="X89:X114" si="117">IF($Q89&lt;=K$17,K$18,0)</f>
        <v>0</v>
      </c>
      <c r="Y89" s="161">
        <f t="shared" ref="Y89:Y114" si="118">IF($Q89&lt;=L$17,L$18,0)</f>
        <v>0</v>
      </c>
      <c r="Z89" s="161">
        <f t="shared" ref="Z89:Z114" si="119">IF($Q89&lt;=M$17,M$18,0)</f>
        <v>0</v>
      </c>
      <c r="AA89" s="161">
        <f t="shared" ref="AA89:AA114" si="120">IF($Q89&lt;=N$17,N$18,0)</f>
        <v>0</v>
      </c>
      <c r="AB89" s="161"/>
      <c r="AC89" s="168">
        <v>71</v>
      </c>
      <c r="AD89" s="213">
        <f t="shared" ca="1" si="106"/>
        <v>47309</v>
      </c>
      <c r="AE89" s="260">
        <f t="shared" si="92"/>
        <v>0</v>
      </c>
      <c r="AF89" s="168"/>
      <c r="AG89" s="233">
        <v>71</v>
      </c>
      <c r="AH89" s="213">
        <f t="shared" ca="1" si="107"/>
        <v>47309</v>
      </c>
      <c r="AI89" s="260">
        <f t="shared" ca="1" si="103"/>
        <v>676.41</v>
      </c>
      <c r="AJ89" s="215">
        <f t="shared" ca="1" si="104"/>
        <v>175.41962280019303</v>
      </c>
      <c r="AK89" s="168">
        <v>71</v>
      </c>
      <c r="AL89" s="213">
        <f t="shared" ca="1" si="108"/>
        <v>47309</v>
      </c>
      <c r="AM89" s="260">
        <f t="shared" ca="1" si="105"/>
        <v>676.41</v>
      </c>
      <c r="AO89" s="161">
        <v>71</v>
      </c>
      <c r="AP89" s="117">
        <f t="shared" si="93"/>
        <v>0</v>
      </c>
      <c r="AQ89" s="117">
        <f t="shared" si="94"/>
        <v>0</v>
      </c>
      <c r="AR89" s="117">
        <f t="shared" si="95"/>
        <v>0</v>
      </c>
      <c r="AS89" s="161">
        <f t="shared" si="96"/>
        <v>0</v>
      </c>
      <c r="AT89" s="161">
        <f t="shared" si="97"/>
        <v>0</v>
      </c>
      <c r="AU89" s="161">
        <f t="shared" si="98"/>
        <v>0</v>
      </c>
      <c r="AV89" s="161">
        <f t="shared" si="99"/>
        <v>0</v>
      </c>
      <c r="AW89" s="161">
        <f t="shared" si="100"/>
        <v>0</v>
      </c>
      <c r="AX89" s="161">
        <f t="shared" si="101"/>
        <v>0</v>
      </c>
      <c r="AY89" s="161">
        <f t="shared" si="102"/>
        <v>0</v>
      </c>
      <c r="BD89" s="186" t="str">
        <f t="shared" si="109"/>
        <v>2GOV. PIAUI</v>
      </c>
      <c r="BE89" s="186">
        <f t="shared" si="110"/>
        <v>2</v>
      </c>
      <c r="BF89" s="209" t="str">
        <f>'Base tabelas'!A68</f>
        <v>GOV. PIAUI</v>
      </c>
      <c r="BG89" s="209" t="str">
        <f>'Base tabelas'!B68</f>
        <v>785933 - Tabela 2</v>
      </c>
      <c r="BH89" s="209">
        <f>'Base tabelas'!C68</f>
        <v>1.8500000000000003E-2</v>
      </c>
      <c r="BI89" s="209">
        <f>'Base tabelas'!D68</f>
        <v>96</v>
      </c>
      <c r="BJ89" s="209" t="str">
        <f>'Base tabelas'!E68</f>
        <v/>
      </c>
      <c r="BK89" s="209">
        <f>'Base tabelas'!F68</f>
        <v>2.4</v>
      </c>
      <c r="BL89" s="209">
        <f>'Base tabelas'!G68</f>
        <v>10</v>
      </c>
      <c r="BM89" s="209">
        <f>'Base tabelas'!H68</f>
        <v>65</v>
      </c>
      <c r="BN89" s="209" t="str">
        <f>'Base tabelas'!I68</f>
        <v>RFN - GOV PIAUI 2 DIG PORTAB</v>
      </c>
      <c r="BO89" s="209" t="str">
        <f>'Base tabelas'!J68</f>
        <v>1,7</v>
      </c>
      <c r="BP89" s="209">
        <f>'Base tabelas'!K68</f>
        <v>1.7000000000000001E-2</v>
      </c>
      <c r="BQ89" s="277">
        <f t="shared" si="57"/>
        <v>2.3517019932870937E-2</v>
      </c>
      <c r="BR89" s="278">
        <f t="shared" si="58"/>
        <v>2.4E-2</v>
      </c>
      <c r="BS89" s="279">
        <v>2.9999999999999997E-4</v>
      </c>
    </row>
    <row r="90" spans="3:74" hidden="1" x14ac:dyDescent="0.25">
      <c r="C90">
        <v>41</v>
      </c>
      <c r="D90" s="10">
        <f t="shared" ca="1" si="91"/>
        <v>46397</v>
      </c>
      <c r="E90" s="14">
        <f t="shared" ref="E90:N99" ca="1" si="121">IF($C90&lt;=E$17,E$18/(($D$48+1)^(($D90-$D$49)/30)),0)</f>
        <v>26.431662337266356</v>
      </c>
      <c r="F90" s="14">
        <f t="shared" si="121"/>
        <v>0</v>
      </c>
      <c r="G90" s="14">
        <f t="shared" si="121"/>
        <v>0</v>
      </c>
      <c r="H90" s="14">
        <f t="shared" si="121"/>
        <v>0</v>
      </c>
      <c r="I90" s="14">
        <f t="shared" si="121"/>
        <v>0</v>
      </c>
      <c r="J90" s="14">
        <f t="shared" si="121"/>
        <v>0</v>
      </c>
      <c r="K90" s="14">
        <f t="shared" si="121"/>
        <v>0</v>
      </c>
      <c r="L90" s="14">
        <f t="shared" si="121"/>
        <v>0</v>
      </c>
      <c r="M90" s="14">
        <f t="shared" si="121"/>
        <v>0</v>
      </c>
      <c r="N90" s="14">
        <f t="shared" si="121"/>
        <v>0</v>
      </c>
      <c r="O90" s="224"/>
      <c r="P90" s="284"/>
      <c r="Q90" s="161">
        <v>72</v>
      </c>
      <c r="R90" s="161">
        <f t="shared" si="111"/>
        <v>0</v>
      </c>
      <c r="S90" s="161">
        <f t="shared" si="112"/>
        <v>0</v>
      </c>
      <c r="T90" s="161">
        <f t="shared" si="113"/>
        <v>0</v>
      </c>
      <c r="U90" s="161">
        <f t="shared" si="114"/>
        <v>0</v>
      </c>
      <c r="V90" s="161">
        <f t="shared" si="115"/>
        <v>0</v>
      </c>
      <c r="W90" s="161">
        <f t="shared" si="116"/>
        <v>0</v>
      </c>
      <c r="X90" s="161">
        <f t="shared" si="117"/>
        <v>0</v>
      </c>
      <c r="Y90" s="161">
        <f t="shared" si="118"/>
        <v>0</v>
      </c>
      <c r="Z90" s="161">
        <f t="shared" si="119"/>
        <v>0</v>
      </c>
      <c r="AA90" s="161">
        <f t="shared" si="120"/>
        <v>0</v>
      </c>
      <c r="AB90" s="161"/>
      <c r="AC90" s="168">
        <v>72</v>
      </c>
      <c r="AD90" s="213">
        <f t="shared" ca="1" si="106"/>
        <v>47340</v>
      </c>
      <c r="AE90" s="260">
        <f t="shared" si="92"/>
        <v>0</v>
      </c>
      <c r="AF90" s="168"/>
      <c r="AG90" s="233">
        <v>72</v>
      </c>
      <c r="AH90" s="213">
        <f t="shared" ca="1" si="107"/>
        <v>47340</v>
      </c>
      <c r="AI90" s="260">
        <f t="shared" ca="1" si="103"/>
        <v>676.41</v>
      </c>
      <c r="AJ90" s="215">
        <f t="shared" ca="1" si="104"/>
        <v>172.02338047561602</v>
      </c>
      <c r="AK90" s="168">
        <v>72</v>
      </c>
      <c r="AL90" s="213">
        <f t="shared" ca="1" si="108"/>
        <v>47340</v>
      </c>
      <c r="AM90" s="260">
        <f t="shared" ca="1" si="105"/>
        <v>676.41</v>
      </c>
      <c r="AO90" s="161">
        <v>72</v>
      </c>
      <c r="AP90" s="117">
        <f t="shared" si="93"/>
        <v>0</v>
      </c>
      <c r="AQ90" s="117">
        <f t="shared" si="94"/>
        <v>0</v>
      </c>
      <c r="AR90" s="117">
        <f t="shared" si="95"/>
        <v>0</v>
      </c>
      <c r="AS90" s="161">
        <f t="shared" si="96"/>
        <v>0</v>
      </c>
      <c r="AT90" s="161">
        <f t="shared" si="97"/>
        <v>0</v>
      </c>
      <c r="AU90" s="161">
        <f t="shared" si="98"/>
        <v>0</v>
      </c>
      <c r="AV90" s="161">
        <f t="shared" si="99"/>
        <v>0</v>
      </c>
      <c r="AW90" s="161">
        <f t="shared" si="100"/>
        <v>0</v>
      </c>
      <c r="AX90" s="161">
        <f t="shared" si="101"/>
        <v>0</v>
      </c>
      <c r="AY90" s="161">
        <f t="shared" si="102"/>
        <v>0</v>
      </c>
      <c r="BD90" s="186" t="str">
        <f t="shared" si="109"/>
        <v>1INSS</v>
      </c>
      <c r="BE90" s="186">
        <f t="shared" si="110"/>
        <v>1</v>
      </c>
      <c r="BF90" s="209" t="str">
        <f>'Base tabelas'!A69</f>
        <v>INSS</v>
      </c>
      <c r="BG90" s="209" t="str">
        <f>'Base tabelas'!B69</f>
        <v>815061 - Tabela 1</v>
      </c>
      <c r="BH90" s="209">
        <f>'Base tabelas'!C69</f>
        <v>1.9E-2</v>
      </c>
      <c r="BI90" s="209">
        <f>'Base tabelas'!D69</f>
        <v>84</v>
      </c>
      <c r="BJ90" s="209" t="str">
        <f>'Base tabelas'!E69</f>
        <v/>
      </c>
      <c r="BK90" s="209">
        <f>'Base tabelas'!F69</f>
        <v>1.91</v>
      </c>
      <c r="BL90" s="209">
        <f>'Base tabelas'!G69</f>
        <v>10</v>
      </c>
      <c r="BM90" s="209">
        <f>'Base tabelas'!H69</f>
        <v>53</v>
      </c>
      <c r="BN90" s="209" t="str">
        <f>'Base tabelas'!I69</f>
        <v>RFN - INSS 1 PORTAB DIG AOL</v>
      </c>
      <c r="BO90" s="209" t="str">
        <f>'Base tabelas'!J69</f>
        <v>1,15</v>
      </c>
      <c r="BP90" s="209">
        <f>'Base tabelas'!K69</f>
        <v>1.15E-2</v>
      </c>
      <c r="BQ90" s="277">
        <f t="shared" ref="BQ90:BQ153" si="122">(PMT(BH90,BI90,-1,0,0)*(BH90+1)^((BM90-30)/30))*1.03017</f>
        <v>2.5002278314111091E-2</v>
      </c>
      <c r="BR90" s="278">
        <f t="shared" ref="BR90:BR153" si="123">BK90/100</f>
        <v>1.9099999999999999E-2</v>
      </c>
      <c r="BS90" s="279">
        <v>2.9999999999999997E-4</v>
      </c>
    </row>
    <row r="91" spans="3:74" hidden="1" x14ac:dyDescent="0.25">
      <c r="C91">
        <v>42</v>
      </c>
      <c r="D91" s="10">
        <f t="shared" ca="1" si="91"/>
        <v>46428</v>
      </c>
      <c r="E91" s="14">
        <f t="shared" ca="1" si="121"/>
        <v>25.928208923718394</v>
      </c>
      <c r="F91" s="14">
        <f t="shared" si="121"/>
        <v>0</v>
      </c>
      <c r="G91" s="14">
        <f t="shared" si="121"/>
        <v>0</v>
      </c>
      <c r="H91" s="14">
        <f t="shared" si="121"/>
        <v>0</v>
      </c>
      <c r="I91" s="14">
        <f t="shared" si="121"/>
        <v>0</v>
      </c>
      <c r="J91" s="14">
        <f t="shared" si="121"/>
        <v>0</v>
      </c>
      <c r="K91" s="14">
        <f t="shared" si="121"/>
        <v>0</v>
      </c>
      <c r="L91" s="14">
        <f t="shared" si="121"/>
        <v>0</v>
      </c>
      <c r="M91" s="14">
        <f t="shared" si="121"/>
        <v>0</v>
      </c>
      <c r="N91" s="14">
        <f t="shared" si="121"/>
        <v>0</v>
      </c>
      <c r="O91" s="224"/>
      <c r="P91" s="284"/>
      <c r="Q91" s="161">
        <v>73</v>
      </c>
      <c r="R91" s="161">
        <f t="shared" si="111"/>
        <v>0</v>
      </c>
      <c r="S91" s="161">
        <f t="shared" si="112"/>
        <v>0</v>
      </c>
      <c r="T91" s="161">
        <f t="shared" si="113"/>
        <v>0</v>
      </c>
      <c r="U91" s="161">
        <f t="shared" si="114"/>
        <v>0</v>
      </c>
      <c r="V91" s="161">
        <f t="shared" si="115"/>
        <v>0</v>
      </c>
      <c r="W91" s="161">
        <f t="shared" si="116"/>
        <v>0</v>
      </c>
      <c r="X91" s="161">
        <f t="shared" si="117"/>
        <v>0</v>
      </c>
      <c r="Y91" s="161">
        <f t="shared" si="118"/>
        <v>0</v>
      </c>
      <c r="Z91" s="161">
        <f t="shared" si="119"/>
        <v>0</v>
      </c>
      <c r="AA91" s="161">
        <f t="shared" si="120"/>
        <v>0</v>
      </c>
      <c r="AB91" s="161"/>
      <c r="AC91" s="168">
        <v>73</v>
      </c>
      <c r="AD91" s="213">
        <f t="shared" ca="1" si="106"/>
        <v>47371</v>
      </c>
      <c r="AE91" s="260">
        <f t="shared" si="92"/>
        <v>0</v>
      </c>
      <c r="AF91" s="168"/>
      <c r="AG91" s="233">
        <v>73</v>
      </c>
      <c r="AH91" s="213">
        <f t="shared" ca="1" si="107"/>
        <v>47371</v>
      </c>
      <c r="AI91" s="260">
        <f t="shared" ca="1" si="103"/>
        <v>676.41</v>
      </c>
      <c r="AJ91" s="215">
        <f t="shared" ca="1" si="104"/>
        <v>168.69289169527269</v>
      </c>
      <c r="AK91" s="168">
        <v>73</v>
      </c>
      <c r="AL91" s="213">
        <f t="shared" ca="1" si="108"/>
        <v>47371</v>
      </c>
      <c r="AM91" s="260">
        <f t="shared" ca="1" si="105"/>
        <v>676.41</v>
      </c>
      <c r="AO91" s="161">
        <v>73</v>
      </c>
      <c r="AP91" s="117">
        <f t="shared" si="93"/>
        <v>0</v>
      </c>
      <c r="AQ91" s="117">
        <f t="shared" si="94"/>
        <v>0</v>
      </c>
      <c r="AR91" s="117">
        <f t="shared" si="95"/>
        <v>0</v>
      </c>
      <c r="AS91" s="161">
        <f t="shared" si="96"/>
        <v>0</v>
      </c>
      <c r="AT91" s="161">
        <f t="shared" si="97"/>
        <v>0</v>
      </c>
      <c r="AU91" s="161">
        <f t="shared" si="98"/>
        <v>0</v>
      </c>
      <c r="AV91" s="161">
        <f t="shared" si="99"/>
        <v>0</v>
      </c>
      <c r="AW91" s="161">
        <f t="shared" si="100"/>
        <v>0</v>
      </c>
      <c r="AX91" s="161">
        <f t="shared" si="101"/>
        <v>0</v>
      </c>
      <c r="AY91" s="161">
        <f t="shared" si="102"/>
        <v>0</v>
      </c>
      <c r="BD91" s="186" t="str">
        <f t="shared" si="109"/>
        <v>2INSS</v>
      </c>
      <c r="BE91" s="186">
        <f t="shared" si="110"/>
        <v>2</v>
      </c>
      <c r="BF91" s="209" t="str">
        <f>'Base tabelas'!A70</f>
        <v>INSS</v>
      </c>
      <c r="BG91" s="209" t="str">
        <f>'Base tabelas'!B70</f>
        <v>815082 - Tabela 2</v>
      </c>
      <c r="BH91" s="209">
        <f>'Base tabelas'!C70</f>
        <v>1.8500000000000003E-2</v>
      </c>
      <c r="BI91" s="209">
        <f>'Base tabelas'!D70</f>
        <v>84</v>
      </c>
      <c r="BJ91" s="209" t="str">
        <f>'Base tabelas'!E70</f>
        <v/>
      </c>
      <c r="BK91" s="209">
        <f>'Base tabelas'!F70</f>
        <v>1.91</v>
      </c>
      <c r="BL91" s="209">
        <f>'Base tabelas'!G70</f>
        <v>10</v>
      </c>
      <c r="BM91" s="209">
        <f>'Base tabelas'!H70</f>
        <v>53</v>
      </c>
      <c r="BN91" s="209" t="str">
        <f>'Base tabelas'!I70</f>
        <v>RFN - INSS 2 PORTAB DIG AOL</v>
      </c>
      <c r="BO91" s="209" t="str">
        <f>'Base tabelas'!J70</f>
        <v>1,15</v>
      </c>
      <c r="BP91" s="209">
        <f>'Base tabelas'!K70</f>
        <v>1.15E-2</v>
      </c>
      <c r="BQ91" s="277">
        <f t="shared" si="122"/>
        <v>2.4603439576403801E-2</v>
      </c>
      <c r="BR91" s="278">
        <f t="shared" si="123"/>
        <v>1.9099999999999999E-2</v>
      </c>
      <c r="BS91" s="279">
        <v>2.9999999999999997E-4</v>
      </c>
    </row>
    <row r="92" spans="3:74" hidden="1" x14ac:dyDescent="0.25">
      <c r="C92">
        <v>43</v>
      </c>
      <c r="D92" s="10">
        <f t="shared" ca="1" si="91"/>
        <v>46456</v>
      </c>
      <c r="E92" s="14">
        <f t="shared" ca="1" si="121"/>
        <v>25.481724243755874</v>
      </c>
      <c r="F92" s="14">
        <f t="shared" si="121"/>
        <v>0</v>
      </c>
      <c r="G92" s="14">
        <f t="shared" si="121"/>
        <v>0</v>
      </c>
      <c r="H92" s="14">
        <f t="shared" si="121"/>
        <v>0</v>
      </c>
      <c r="I92" s="14">
        <f t="shared" si="121"/>
        <v>0</v>
      </c>
      <c r="J92" s="14">
        <f t="shared" si="121"/>
        <v>0</v>
      </c>
      <c r="K92" s="14">
        <f t="shared" si="121"/>
        <v>0</v>
      </c>
      <c r="L92" s="14">
        <f t="shared" si="121"/>
        <v>0</v>
      </c>
      <c r="M92" s="14">
        <f t="shared" si="121"/>
        <v>0</v>
      </c>
      <c r="N92" s="14">
        <f t="shared" si="121"/>
        <v>0</v>
      </c>
      <c r="O92" s="224"/>
      <c r="P92" s="284"/>
      <c r="Q92" s="161">
        <v>74</v>
      </c>
      <c r="R92" s="161">
        <f t="shared" si="111"/>
        <v>0</v>
      </c>
      <c r="S92" s="161">
        <f t="shared" si="112"/>
        <v>0</v>
      </c>
      <c r="T92" s="161">
        <f t="shared" si="113"/>
        <v>0</v>
      </c>
      <c r="U92" s="161">
        <f t="shared" si="114"/>
        <v>0</v>
      </c>
      <c r="V92" s="161">
        <f t="shared" si="115"/>
        <v>0</v>
      </c>
      <c r="W92" s="161">
        <f t="shared" si="116"/>
        <v>0</v>
      </c>
      <c r="X92" s="161">
        <f t="shared" si="117"/>
        <v>0</v>
      </c>
      <c r="Y92" s="161">
        <f t="shared" si="118"/>
        <v>0</v>
      </c>
      <c r="Z92" s="161">
        <f t="shared" si="119"/>
        <v>0</v>
      </c>
      <c r="AA92" s="161">
        <f t="shared" si="120"/>
        <v>0</v>
      </c>
      <c r="AB92" s="161"/>
      <c r="AC92" s="168">
        <v>74</v>
      </c>
      <c r="AD92" s="213">
        <f t="shared" ca="1" si="106"/>
        <v>47401</v>
      </c>
      <c r="AE92" s="260">
        <f t="shared" si="92"/>
        <v>0</v>
      </c>
      <c r="AF92" s="168"/>
      <c r="AG92" s="233">
        <v>74</v>
      </c>
      <c r="AH92" s="213">
        <f t="shared" ca="1" si="107"/>
        <v>47401</v>
      </c>
      <c r="AI92" s="260">
        <f t="shared" ca="1" si="103"/>
        <v>676.41</v>
      </c>
      <c r="AJ92" s="215">
        <f t="shared" ca="1" si="104"/>
        <v>165.5312449173513</v>
      </c>
      <c r="AK92" s="168">
        <v>74</v>
      </c>
      <c r="AL92" s="213">
        <f t="shared" ca="1" si="108"/>
        <v>47401</v>
      </c>
      <c r="AM92" s="260">
        <f t="shared" ca="1" si="105"/>
        <v>676.41</v>
      </c>
      <c r="AO92" s="161">
        <v>74</v>
      </c>
      <c r="AP92" s="117">
        <f t="shared" si="93"/>
        <v>0</v>
      </c>
      <c r="AQ92" s="117">
        <f t="shared" si="94"/>
        <v>0</v>
      </c>
      <c r="AR92" s="117">
        <f t="shared" si="95"/>
        <v>0</v>
      </c>
      <c r="AS92" s="161">
        <f t="shared" si="96"/>
        <v>0</v>
      </c>
      <c r="AT92" s="161">
        <f t="shared" si="97"/>
        <v>0</v>
      </c>
      <c r="AU92" s="161">
        <f t="shared" si="98"/>
        <v>0</v>
      </c>
      <c r="AV92" s="161">
        <f t="shared" si="99"/>
        <v>0</v>
      </c>
      <c r="AW92" s="161">
        <f t="shared" si="100"/>
        <v>0</v>
      </c>
      <c r="AX92" s="161">
        <f t="shared" si="101"/>
        <v>0</v>
      </c>
      <c r="AY92" s="161">
        <f t="shared" si="102"/>
        <v>0</v>
      </c>
      <c r="BD92" s="186" t="str">
        <f t="shared" si="109"/>
        <v>3INSS</v>
      </c>
      <c r="BE92" s="186">
        <f t="shared" si="110"/>
        <v>3</v>
      </c>
      <c r="BF92" s="209" t="str">
        <f>'Base tabelas'!A71</f>
        <v>INSS</v>
      </c>
      <c r="BG92" s="209" t="str">
        <f>'Base tabelas'!B71</f>
        <v>815083 - Tabela 3</v>
      </c>
      <c r="BH92" s="209">
        <f>'Base tabelas'!C71</f>
        <v>1.8000000000000002E-2</v>
      </c>
      <c r="BI92" s="209">
        <f>'Base tabelas'!D71</f>
        <v>84</v>
      </c>
      <c r="BJ92" s="209" t="str">
        <f>'Base tabelas'!E71</f>
        <v/>
      </c>
      <c r="BK92" s="209">
        <f>'Base tabelas'!F71</f>
        <v>1.91</v>
      </c>
      <c r="BL92" s="209">
        <f>'Base tabelas'!G71</f>
        <v>10</v>
      </c>
      <c r="BM92" s="209">
        <f>'Base tabelas'!H71</f>
        <v>53</v>
      </c>
      <c r="BN92" s="209" t="str">
        <f>'Base tabelas'!I71</f>
        <v>RFN - INSS 3 PORTAB DIG AOL</v>
      </c>
      <c r="BO92" s="209" t="str">
        <f>'Base tabelas'!J71</f>
        <v>1,15</v>
      </c>
      <c r="BP92" s="209">
        <f>'Base tabelas'!K71</f>
        <v>1.15E-2</v>
      </c>
      <c r="BQ92" s="277">
        <f t="shared" si="122"/>
        <v>2.4207712468790974E-2</v>
      </c>
      <c r="BR92" s="278">
        <f t="shared" si="123"/>
        <v>1.9099999999999999E-2</v>
      </c>
      <c r="BS92" s="279">
        <v>2.9999999999999997E-4</v>
      </c>
    </row>
    <row r="93" spans="3:74" hidden="1" x14ac:dyDescent="0.25">
      <c r="C93">
        <v>44</v>
      </c>
      <c r="D93" s="10">
        <f t="shared" ca="1" si="91"/>
        <v>46487</v>
      </c>
      <c r="E93" s="14">
        <f t="shared" ca="1" si="121"/>
        <v>24.996364643973191</v>
      </c>
      <c r="F93" s="14">
        <f t="shared" si="121"/>
        <v>0</v>
      </c>
      <c r="G93" s="14">
        <f t="shared" si="121"/>
        <v>0</v>
      </c>
      <c r="H93" s="14">
        <f t="shared" si="121"/>
        <v>0</v>
      </c>
      <c r="I93" s="14">
        <f t="shared" si="121"/>
        <v>0</v>
      </c>
      <c r="J93" s="14">
        <f t="shared" si="121"/>
        <v>0</v>
      </c>
      <c r="K93" s="14">
        <f t="shared" si="121"/>
        <v>0</v>
      </c>
      <c r="L93" s="14">
        <f t="shared" si="121"/>
        <v>0</v>
      </c>
      <c r="M93" s="14">
        <f t="shared" si="121"/>
        <v>0</v>
      </c>
      <c r="N93" s="14">
        <f t="shared" si="121"/>
        <v>0</v>
      </c>
      <c r="O93" s="224"/>
      <c r="P93" s="284"/>
      <c r="Q93" s="161">
        <v>75</v>
      </c>
      <c r="R93" s="161">
        <f t="shared" si="111"/>
        <v>0</v>
      </c>
      <c r="S93" s="161">
        <f t="shared" si="112"/>
        <v>0</v>
      </c>
      <c r="T93" s="161">
        <f t="shared" si="113"/>
        <v>0</v>
      </c>
      <c r="U93" s="161">
        <f t="shared" si="114"/>
        <v>0</v>
      </c>
      <c r="V93" s="161">
        <f t="shared" si="115"/>
        <v>0</v>
      </c>
      <c r="W93" s="161">
        <f t="shared" si="116"/>
        <v>0</v>
      </c>
      <c r="X93" s="161">
        <f t="shared" si="117"/>
        <v>0</v>
      </c>
      <c r="Y93" s="161">
        <f t="shared" si="118"/>
        <v>0</v>
      </c>
      <c r="Z93" s="161">
        <f t="shared" si="119"/>
        <v>0</v>
      </c>
      <c r="AA93" s="161">
        <f t="shared" si="120"/>
        <v>0</v>
      </c>
      <c r="AB93" s="161"/>
      <c r="AC93" s="168">
        <v>75</v>
      </c>
      <c r="AD93" s="213">
        <f t="shared" ca="1" si="106"/>
        <v>47432</v>
      </c>
      <c r="AE93" s="260">
        <f t="shared" si="92"/>
        <v>0</v>
      </c>
      <c r="AF93" s="168"/>
      <c r="AG93" s="233">
        <v>75</v>
      </c>
      <c r="AH93" s="213">
        <f t="shared" ca="1" si="107"/>
        <v>47432</v>
      </c>
      <c r="AI93" s="260">
        <f t="shared" ca="1" si="103"/>
        <v>676.41</v>
      </c>
      <c r="AJ93" s="215">
        <f t="shared" ca="1" si="104"/>
        <v>162.32644826430771</v>
      </c>
      <c r="AK93" s="168">
        <v>75</v>
      </c>
      <c r="AL93" s="213">
        <f t="shared" ca="1" si="108"/>
        <v>47432</v>
      </c>
      <c r="AM93" s="260">
        <f t="shared" ca="1" si="105"/>
        <v>676.41</v>
      </c>
      <c r="AO93" s="161">
        <v>75</v>
      </c>
      <c r="AP93" s="117">
        <f t="shared" si="93"/>
        <v>0</v>
      </c>
      <c r="AQ93" s="117">
        <f t="shared" si="94"/>
        <v>0</v>
      </c>
      <c r="AR93" s="117">
        <f t="shared" si="95"/>
        <v>0</v>
      </c>
      <c r="AS93" s="161">
        <f t="shared" si="96"/>
        <v>0</v>
      </c>
      <c r="AT93" s="161">
        <f t="shared" si="97"/>
        <v>0</v>
      </c>
      <c r="AU93" s="161">
        <f t="shared" si="98"/>
        <v>0</v>
      </c>
      <c r="AV93" s="161">
        <f t="shared" si="99"/>
        <v>0</v>
      </c>
      <c r="AW93" s="161">
        <f t="shared" si="100"/>
        <v>0</v>
      </c>
      <c r="AX93" s="161">
        <f t="shared" si="101"/>
        <v>0</v>
      </c>
      <c r="AY93" s="161">
        <f t="shared" si="102"/>
        <v>0</v>
      </c>
      <c r="BD93" s="186" t="str">
        <f t="shared" si="109"/>
        <v>4INSS</v>
      </c>
      <c r="BE93" s="186">
        <f t="shared" si="110"/>
        <v>4</v>
      </c>
      <c r="BF93" s="209" t="str">
        <f>'Base tabelas'!A72</f>
        <v>INSS</v>
      </c>
      <c r="BG93" s="209" t="str">
        <f>'Base tabelas'!B72</f>
        <v>815084 - Tabela 4</v>
      </c>
      <c r="BH93" s="209">
        <f>'Base tabelas'!C72</f>
        <v>1.7500000000000002E-2</v>
      </c>
      <c r="BI93" s="209">
        <f>'Base tabelas'!D72</f>
        <v>84</v>
      </c>
      <c r="BJ93" s="209" t="str">
        <f>'Base tabelas'!E72</f>
        <v/>
      </c>
      <c r="BK93" s="209">
        <f>'Base tabelas'!F72</f>
        <v>1.91</v>
      </c>
      <c r="BL93" s="209">
        <f>'Base tabelas'!G72</f>
        <v>10</v>
      </c>
      <c r="BM93" s="209">
        <f>'Base tabelas'!H72</f>
        <v>53</v>
      </c>
      <c r="BN93" s="209" t="str">
        <f>'Base tabelas'!I72</f>
        <v>RFN - INSS 4 PORTAB DIG AOL</v>
      </c>
      <c r="BO93" s="209" t="str">
        <f>'Base tabelas'!J72</f>
        <v>1,15</v>
      </c>
      <c r="BP93" s="209">
        <f>'Base tabelas'!K72</f>
        <v>1.15E-2</v>
      </c>
      <c r="BQ93" s="277">
        <f t="shared" si="122"/>
        <v>2.3815130011921141E-2</v>
      </c>
      <c r="BR93" s="278">
        <f t="shared" si="123"/>
        <v>1.9099999999999999E-2</v>
      </c>
      <c r="BS93" s="279">
        <v>2.9999999999999997E-4</v>
      </c>
    </row>
    <row r="94" spans="3:74" hidden="1" x14ac:dyDescent="0.25">
      <c r="C94">
        <v>45</v>
      </c>
      <c r="D94" s="10">
        <f t="shared" ca="1" si="91"/>
        <v>46517</v>
      </c>
      <c r="E94" s="14">
        <f t="shared" ca="1" si="121"/>
        <v>24.53546591672746</v>
      </c>
      <c r="F94" s="14">
        <f t="shared" si="121"/>
        <v>0</v>
      </c>
      <c r="G94" s="14">
        <f t="shared" si="121"/>
        <v>0</v>
      </c>
      <c r="H94" s="14">
        <f t="shared" si="121"/>
        <v>0</v>
      </c>
      <c r="I94" s="14">
        <f t="shared" si="121"/>
        <v>0</v>
      </c>
      <c r="J94" s="14">
        <f t="shared" si="121"/>
        <v>0</v>
      </c>
      <c r="K94" s="14">
        <f t="shared" si="121"/>
        <v>0</v>
      </c>
      <c r="L94" s="14">
        <f t="shared" si="121"/>
        <v>0</v>
      </c>
      <c r="M94" s="14">
        <f t="shared" si="121"/>
        <v>0</v>
      </c>
      <c r="N94" s="14">
        <f t="shared" si="121"/>
        <v>0</v>
      </c>
      <c r="O94" s="224"/>
      <c r="P94" s="284"/>
      <c r="Q94" s="161">
        <v>76</v>
      </c>
      <c r="R94" s="161">
        <f t="shared" si="111"/>
        <v>0</v>
      </c>
      <c r="S94" s="161">
        <f t="shared" si="112"/>
        <v>0</v>
      </c>
      <c r="T94" s="161">
        <f t="shared" si="113"/>
        <v>0</v>
      </c>
      <c r="U94" s="161">
        <f t="shared" si="114"/>
        <v>0</v>
      </c>
      <c r="V94" s="161">
        <f t="shared" si="115"/>
        <v>0</v>
      </c>
      <c r="W94" s="161">
        <f t="shared" si="116"/>
        <v>0</v>
      </c>
      <c r="X94" s="161">
        <f t="shared" si="117"/>
        <v>0</v>
      </c>
      <c r="Y94" s="161">
        <f t="shared" si="118"/>
        <v>0</v>
      </c>
      <c r="Z94" s="161">
        <f t="shared" si="119"/>
        <v>0</v>
      </c>
      <c r="AA94" s="161">
        <f t="shared" si="120"/>
        <v>0</v>
      </c>
      <c r="AB94" s="161"/>
      <c r="AC94" s="168">
        <v>76</v>
      </c>
      <c r="AD94" s="213">
        <f t="shared" ca="1" si="106"/>
        <v>47462</v>
      </c>
      <c r="AE94" s="260">
        <f t="shared" si="92"/>
        <v>0</v>
      </c>
      <c r="AF94" s="168"/>
      <c r="AG94" s="233">
        <v>76</v>
      </c>
      <c r="AH94" s="213">
        <f t="shared" ca="1" si="107"/>
        <v>47462</v>
      </c>
      <c r="AI94" s="260">
        <f t="shared" ca="1" si="103"/>
        <v>676.41</v>
      </c>
      <c r="AJ94" s="215">
        <f t="shared" ca="1" si="104"/>
        <v>159.28412154283947</v>
      </c>
      <c r="AK94" s="168">
        <v>76</v>
      </c>
      <c r="AL94" s="213">
        <f t="shared" ca="1" si="108"/>
        <v>47462</v>
      </c>
      <c r="AM94" s="260">
        <f t="shared" ca="1" si="105"/>
        <v>676.41</v>
      </c>
      <c r="AO94" s="161">
        <v>76</v>
      </c>
      <c r="AP94" s="117">
        <f t="shared" si="93"/>
        <v>0</v>
      </c>
      <c r="AQ94" s="117">
        <f t="shared" si="94"/>
        <v>0</v>
      </c>
      <c r="AR94" s="117">
        <f t="shared" si="95"/>
        <v>0</v>
      </c>
      <c r="AS94" s="161">
        <f t="shared" si="96"/>
        <v>0</v>
      </c>
      <c r="AT94" s="161">
        <f t="shared" si="97"/>
        <v>0</v>
      </c>
      <c r="AU94" s="161">
        <f t="shared" si="98"/>
        <v>0</v>
      </c>
      <c r="AV94" s="161">
        <f t="shared" si="99"/>
        <v>0</v>
      </c>
      <c r="AW94" s="161">
        <f t="shared" si="100"/>
        <v>0</v>
      </c>
      <c r="AX94" s="161">
        <f t="shared" si="101"/>
        <v>0</v>
      </c>
      <c r="AY94" s="161">
        <f t="shared" si="102"/>
        <v>0</v>
      </c>
      <c r="BD94" s="186" t="str">
        <f t="shared" si="109"/>
        <v>5INSS</v>
      </c>
      <c r="BE94" s="186">
        <f t="shared" si="110"/>
        <v>5</v>
      </c>
      <c r="BF94" s="209" t="str">
        <f>'Base tabelas'!A73</f>
        <v>INSS</v>
      </c>
      <c r="BG94" s="209" t="str">
        <f>'Base tabelas'!B73</f>
        <v>815085 - Tabela 5</v>
      </c>
      <c r="BH94" s="209">
        <f>'Base tabelas'!C73</f>
        <v>1.7000000000000001E-2</v>
      </c>
      <c r="BI94" s="209">
        <f>'Base tabelas'!D73</f>
        <v>84</v>
      </c>
      <c r="BJ94" s="209" t="str">
        <f>'Base tabelas'!E73</f>
        <v/>
      </c>
      <c r="BK94" s="209">
        <f>'Base tabelas'!F73</f>
        <v>1.91</v>
      </c>
      <c r="BL94" s="209">
        <f>'Base tabelas'!G73</f>
        <v>10</v>
      </c>
      <c r="BM94" s="209">
        <f>'Base tabelas'!H73</f>
        <v>53</v>
      </c>
      <c r="BN94" s="209" t="str">
        <f>'Base tabelas'!I73</f>
        <v>RFN - INSS 5 PORTAB DIG AOL</v>
      </c>
      <c r="BO94" s="209" t="str">
        <f>'Base tabelas'!J73</f>
        <v>1,15</v>
      </c>
      <c r="BP94" s="209">
        <f>'Base tabelas'!K73</f>
        <v>1.15E-2</v>
      </c>
      <c r="BQ94" s="277">
        <f t="shared" si="122"/>
        <v>2.3425724784414358E-2</v>
      </c>
      <c r="BR94" s="278">
        <f t="shared" si="123"/>
        <v>1.9099999999999999E-2</v>
      </c>
      <c r="BS94" s="279">
        <v>2.9999999999999997E-4</v>
      </c>
    </row>
    <row r="95" spans="3:74" hidden="1" x14ac:dyDescent="0.25">
      <c r="C95">
        <v>46</v>
      </c>
      <c r="D95" s="10">
        <f t="shared" ca="1" si="91"/>
        <v>46548</v>
      </c>
      <c r="E95" s="14">
        <f t="shared" ca="1" si="121"/>
        <v>24.068130040869576</v>
      </c>
      <c r="F95" s="14">
        <f t="shared" si="121"/>
        <v>0</v>
      </c>
      <c r="G95" s="14">
        <f t="shared" si="121"/>
        <v>0</v>
      </c>
      <c r="H95" s="14">
        <f t="shared" si="121"/>
        <v>0</v>
      </c>
      <c r="I95" s="14">
        <f t="shared" si="121"/>
        <v>0</v>
      </c>
      <c r="J95" s="14">
        <f t="shared" si="121"/>
        <v>0</v>
      </c>
      <c r="K95" s="14">
        <f t="shared" si="121"/>
        <v>0</v>
      </c>
      <c r="L95" s="14">
        <f t="shared" si="121"/>
        <v>0</v>
      </c>
      <c r="M95" s="14">
        <f t="shared" si="121"/>
        <v>0</v>
      </c>
      <c r="N95" s="14">
        <f t="shared" si="121"/>
        <v>0</v>
      </c>
      <c r="O95" s="224"/>
      <c r="P95" s="284"/>
      <c r="Q95" s="161">
        <v>77</v>
      </c>
      <c r="R95" s="161">
        <f t="shared" si="111"/>
        <v>0</v>
      </c>
      <c r="S95" s="161">
        <f t="shared" si="112"/>
        <v>0</v>
      </c>
      <c r="T95" s="161">
        <f t="shared" si="113"/>
        <v>0</v>
      </c>
      <c r="U95" s="161">
        <f t="shared" si="114"/>
        <v>0</v>
      </c>
      <c r="V95" s="161">
        <f t="shared" si="115"/>
        <v>0</v>
      </c>
      <c r="W95" s="161">
        <f t="shared" si="116"/>
        <v>0</v>
      </c>
      <c r="X95" s="161">
        <f t="shared" si="117"/>
        <v>0</v>
      </c>
      <c r="Y95" s="161">
        <f t="shared" si="118"/>
        <v>0</v>
      </c>
      <c r="Z95" s="161">
        <f t="shared" si="119"/>
        <v>0</v>
      </c>
      <c r="AA95" s="161">
        <f t="shared" si="120"/>
        <v>0</v>
      </c>
      <c r="AB95" s="161"/>
      <c r="AC95" s="168">
        <v>77</v>
      </c>
      <c r="AD95" s="213">
        <f t="shared" ca="1" si="106"/>
        <v>47493</v>
      </c>
      <c r="AE95" s="260">
        <f t="shared" si="92"/>
        <v>0</v>
      </c>
      <c r="AF95" s="168"/>
      <c r="AG95" s="233">
        <v>77</v>
      </c>
      <c r="AH95" s="213">
        <f t="shared" ca="1" si="107"/>
        <v>47493</v>
      </c>
      <c r="AI95" s="260">
        <f t="shared" ca="1" si="103"/>
        <v>676.41</v>
      </c>
      <c r="AJ95" s="215">
        <f t="shared" ca="1" si="104"/>
        <v>156.20027341580851</v>
      </c>
      <c r="AK95" s="168">
        <v>77</v>
      </c>
      <c r="AL95" s="213">
        <f t="shared" ca="1" si="108"/>
        <v>47493</v>
      </c>
      <c r="AM95" s="260">
        <f t="shared" ca="1" si="105"/>
        <v>676.41</v>
      </c>
      <c r="AO95" s="161">
        <v>77</v>
      </c>
      <c r="AP95" s="117">
        <f t="shared" si="93"/>
        <v>0</v>
      </c>
      <c r="AQ95" s="117">
        <f t="shared" si="94"/>
        <v>0</v>
      </c>
      <c r="AR95" s="117">
        <f t="shared" si="95"/>
        <v>0</v>
      </c>
      <c r="AS95" s="161">
        <f t="shared" si="96"/>
        <v>0</v>
      </c>
      <c r="AT95" s="161">
        <f t="shared" si="97"/>
        <v>0</v>
      </c>
      <c r="AU95" s="161">
        <f t="shared" si="98"/>
        <v>0</v>
      </c>
      <c r="AV95" s="161">
        <f t="shared" si="99"/>
        <v>0</v>
      </c>
      <c r="AW95" s="161">
        <f t="shared" si="100"/>
        <v>0</v>
      </c>
      <c r="AX95" s="161">
        <f t="shared" si="101"/>
        <v>0</v>
      </c>
      <c r="AY95" s="161">
        <f t="shared" si="102"/>
        <v>0</v>
      </c>
      <c r="BD95" s="186" t="str">
        <f t="shared" si="109"/>
        <v>6INSS</v>
      </c>
      <c r="BE95" s="186">
        <f t="shared" si="110"/>
        <v>6</v>
      </c>
      <c r="BF95" s="209" t="str">
        <f>'Base tabelas'!A74</f>
        <v>INSS</v>
      </c>
      <c r="BG95" s="209" t="str">
        <f>'Base tabelas'!B74</f>
        <v>815086 - Tabela 6</v>
      </c>
      <c r="BH95" s="209">
        <f>'Base tabelas'!C74</f>
        <v>1.6500000000000001E-2</v>
      </c>
      <c r="BI95" s="209">
        <f>'Base tabelas'!D74</f>
        <v>84</v>
      </c>
      <c r="BJ95" s="209" t="str">
        <f>'Base tabelas'!E74</f>
        <v/>
      </c>
      <c r="BK95" s="209">
        <f>'Base tabelas'!F74</f>
        <v>1.91</v>
      </c>
      <c r="BL95" s="209">
        <f>'Base tabelas'!G74</f>
        <v>10</v>
      </c>
      <c r="BM95" s="209">
        <f>'Base tabelas'!H74</f>
        <v>53</v>
      </c>
      <c r="BN95" s="209" t="str">
        <f>'Base tabelas'!I74</f>
        <v>RFN - INSS 6 PORTAB DIG AOL</v>
      </c>
      <c r="BO95" s="209" t="str">
        <f>'Base tabelas'!J74</f>
        <v>1,15</v>
      </c>
      <c r="BP95" s="209">
        <f>'Base tabelas'!K74</f>
        <v>1.15E-2</v>
      </c>
      <c r="BQ95" s="277">
        <f t="shared" si="122"/>
        <v>2.3039528890469323E-2</v>
      </c>
      <c r="BR95" s="278">
        <f t="shared" si="123"/>
        <v>1.9099999999999999E-2</v>
      </c>
      <c r="BS95" s="279">
        <v>2.9999999999999997E-4</v>
      </c>
    </row>
    <row r="96" spans="3:74" hidden="1" x14ac:dyDescent="0.25">
      <c r="C96">
        <v>47</v>
      </c>
      <c r="D96" s="10">
        <f t="shared" ca="1" si="91"/>
        <v>46578</v>
      </c>
      <c r="E96" s="14">
        <f t="shared" ca="1" si="121"/>
        <v>23.624346688329307</v>
      </c>
      <c r="F96" s="14">
        <f t="shared" si="121"/>
        <v>0</v>
      </c>
      <c r="G96" s="14">
        <f t="shared" si="121"/>
        <v>0</v>
      </c>
      <c r="H96" s="14">
        <f t="shared" si="121"/>
        <v>0</v>
      </c>
      <c r="I96" s="14">
        <f t="shared" si="121"/>
        <v>0</v>
      </c>
      <c r="J96" s="14">
        <f t="shared" si="121"/>
        <v>0</v>
      </c>
      <c r="K96" s="14">
        <f t="shared" si="121"/>
        <v>0</v>
      </c>
      <c r="L96" s="14">
        <f t="shared" si="121"/>
        <v>0</v>
      </c>
      <c r="M96" s="14">
        <f t="shared" si="121"/>
        <v>0</v>
      </c>
      <c r="N96" s="14">
        <f t="shared" si="121"/>
        <v>0</v>
      </c>
      <c r="O96" s="224"/>
      <c r="P96" s="284"/>
      <c r="Q96" s="161">
        <v>78</v>
      </c>
      <c r="R96" s="161">
        <f t="shared" si="111"/>
        <v>0</v>
      </c>
      <c r="S96" s="161">
        <f t="shared" si="112"/>
        <v>0</v>
      </c>
      <c r="T96" s="161">
        <f t="shared" si="113"/>
        <v>0</v>
      </c>
      <c r="U96" s="161">
        <f t="shared" si="114"/>
        <v>0</v>
      </c>
      <c r="V96" s="161">
        <f t="shared" si="115"/>
        <v>0</v>
      </c>
      <c r="W96" s="161">
        <f t="shared" si="116"/>
        <v>0</v>
      </c>
      <c r="X96" s="161">
        <f t="shared" si="117"/>
        <v>0</v>
      </c>
      <c r="Y96" s="161">
        <f t="shared" si="118"/>
        <v>0</v>
      </c>
      <c r="Z96" s="161">
        <f t="shared" si="119"/>
        <v>0</v>
      </c>
      <c r="AA96" s="161">
        <f t="shared" si="120"/>
        <v>0</v>
      </c>
      <c r="AB96" s="161"/>
      <c r="AC96" s="168">
        <v>78</v>
      </c>
      <c r="AD96" s="213">
        <f t="shared" ca="1" si="106"/>
        <v>47524</v>
      </c>
      <c r="AE96" s="260">
        <f t="shared" si="92"/>
        <v>0</v>
      </c>
      <c r="AF96" s="168"/>
      <c r="AG96" s="233">
        <v>78</v>
      </c>
      <c r="AH96" s="213">
        <f t="shared" ca="1" si="107"/>
        <v>47524</v>
      </c>
      <c r="AI96" s="260">
        <f t="shared" ca="1" si="103"/>
        <v>676.41</v>
      </c>
      <c r="AJ96" s="215">
        <f t="shared" ca="1" si="104"/>
        <v>153.17613067044692</v>
      </c>
      <c r="AK96" s="168">
        <v>78</v>
      </c>
      <c r="AL96" s="213">
        <f t="shared" ca="1" si="108"/>
        <v>47524</v>
      </c>
      <c r="AM96" s="260">
        <f t="shared" ca="1" si="105"/>
        <v>676.41</v>
      </c>
      <c r="AO96" s="161">
        <v>78</v>
      </c>
      <c r="AP96" s="117">
        <f t="shared" si="93"/>
        <v>0</v>
      </c>
      <c r="AQ96" s="117">
        <f t="shared" si="94"/>
        <v>0</v>
      </c>
      <c r="AR96" s="117">
        <f t="shared" si="95"/>
        <v>0</v>
      </c>
      <c r="AS96" s="161">
        <f t="shared" si="96"/>
        <v>0</v>
      </c>
      <c r="AT96" s="161">
        <f t="shared" si="97"/>
        <v>0</v>
      </c>
      <c r="AU96" s="161">
        <f t="shared" si="98"/>
        <v>0</v>
      </c>
      <c r="AV96" s="161">
        <f t="shared" si="99"/>
        <v>0</v>
      </c>
      <c r="AW96" s="161">
        <f t="shared" si="100"/>
        <v>0</v>
      </c>
      <c r="AX96" s="161">
        <f t="shared" si="101"/>
        <v>0</v>
      </c>
      <c r="AY96" s="161">
        <f t="shared" si="102"/>
        <v>0</v>
      </c>
      <c r="BD96" s="186" t="str">
        <f t="shared" si="109"/>
        <v>1IPSEMG MG</v>
      </c>
      <c r="BE96" s="186">
        <f t="shared" si="110"/>
        <v>1</v>
      </c>
      <c r="BF96" s="209" t="str">
        <f>'Base tabelas'!A75</f>
        <v>IPSEMG MG</v>
      </c>
      <c r="BG96" s="209" t="str">
        <f>'Base tabelas'!B75</f>
        <v>765631 - Tabela 1</v>
      </c>
      <c r="BH96" s="209">
        <f>'Base tabelas'!C75</f>
        <v>2.1499999999999998E-2</v>
      </c>
      <c r="BI96" s="209">
        <f>'Base tabelas'!D75</f>
        <v>120</v>
      </c>
      <c r="BJ96" s="209" t="str">
        <f>'Base tabelas'!E75</f>
        <v/>
      </c>
      <c r="BK96" s="209">
        <f>'Base tabelas'!F75</f>
        <v>2.4</v>
      </c>
      <c r="BL96" s="209">
        <f>'Base tabelas'!G75</f>
        <v>12</v>
      </c>
      <c r="BM96" s="209">
        <f>'Base tabelas'!H75</f>
        <v>43</v>
      </c>
      <c r="BN96" s="209" t="str">
        <f>'Base tabelas'!I75</f>
        <v>RFN - IPSEMG 1 DIG PORTABILIDADE</v>
      </c>
      <c r="BO96" s="209" t="str">
        <f>'Base tabelas'!J75</f>
        <v>1,64</v>
      </c>
      <c r="BP96" s="209">
        <f>'Base tabelas'!K75</f>
        <v>1.6399999999999998E-2</v>
      </c>
      <c r="BQ96" s="277">
        <f t="shared" si="122"/>
        <v>2.4241564142889527E-2</v>
      </c>
      <c r="BR96" s="278">
        <f t="shared" si="123"/>
        <v>2.4E-2</v>
      </c>
      <c r="BS96" s="279">
        <v>2.9999999999999997E-4</v>
      </c>
    </row>
    <row r="97" spans="3:71" hidden="1" x14ac:dyDescent="0.25">
      <c r="C97">
        <v>48</v>
      </c>
      <c r="D97" s="10">
        <f t="shared" ca="1" si="91"/>
        <v>46609</v>
      </c>
      <c r="E97" s="14">
        <f t="shared" ca="1" si="121"/>
        <v>23.174365229300502</v>
      </c>
      <c r="F97" s="14">
        <f t="shared" si="121"/>
        <v>0</v>
      </c>
      <c r="G97" s="14">
        <f t="shared" si="121"/>
        <v>0</v>
      </c>
      <c r="H97" s="14">
        <f t="shared" si="121"/>
        <v>0</v>
      </c>
      <c r="I97" s="14">
        <f t="shared" si="121"/>
        <v>0</v>
      </c>
      <c r="J97" s="14">
        <f t="shared" si="121"/>
        <v>0</v>
      </c>
      <c r="K97" s="14">
        <f t="shared" si="121"/>
        <v>0</v>
      </c>
      <c r="L97" s="14">
        <f t="shared" si="121"/>
        <v>0</v>
      </c>
      <c r="M97" s="14">
        <f t="shared" si="121"/>
        <v>0</v>
      </c>
      <c r="N97" s="14">
        <f t="shared" si="121"/>
        <v>0</v>
      </c>
      <c r="O97" s="224"/>
      <c r="Q97" s="161">
        <v>79</v>
      </c>
      <c r="R97" s="161">
        <f t="shared" si="111"/>
        <v>0</v>
      </c>
      <c r="S97" s="161">
        <f t="shared" si="112"/>
        <v>0</v>
      </c>
      <c r="T97" s="161">
        <f t="shared" si="113"/>
        <v>0</v>
      </c>
      <c r="U97" s="161">
        <f t="shared" si="114"/>
        <v>0</v>
      </c>
      <c r="V97" s="161">
        <f t="shared" si="115"/>
        <v>0</v>
      </c>
      <c r="W97" s="161">
        <f t="shared" si="116"/>
        <v>0</v>
      </c>
      <c r="X97" s="161">
        <f t="shared" si="117"/>
        <v>0</v>
      </c>
      <c r="Y97" s="161">
        <f t="shared" si="118"/>
        <v>0</v>
      </c>
      <c r="Z97" s="161">
        <f t="shared" si="119"/>
        <v>0</v>
      </c>
      <c r="AA97" s="161">
        <f t="shared" si="120"/>
        <v>0</v>
      </c>
      <c r="AB97" s="161"/>
      <c r="AC97" s="168">
        <v>79</v>
      </c>
      <c r="AD97" s="213">
        <f t="shared" ca="1" si="106"/>
        <v>47552</v>
      </c>
      <c r="AE97" s="260">
        <f t="shared" si="92"/>
        <v>0</v>
      </c>
      <c r="AF97" s="168"/>
      <c r="AG97" s="233">
        <v>79</v>
      </c>
      <c r="AH97" s="213">
        <f t="shared" ca="1" si="107"/>
        <v>47552</v>
      </c>
      <c r="AI97" s="260">
        <f t="shared" ca="1" si="103"/>
        <v>676.41</v>
      </c>
      <c r="AJ97" s="215">
        <f t="shared" ca="1" si="104"/>
        <v>150.49500299531292</v>
      </c>
      <c r="AK97" s="168">
        <v>79</v>
      </c>
      <c r="AL97" s="213">
        <f t="shared" ca="1" si="108"/>
        <v>47552</v>
      </c>
      <c r="AM97" s="260">
        <f t="shared" ca="1" si="105"/>
        <v>676.41</v>
      </c>
      <c r="AO97" s="161">
        <v>79</v>
      </c>
      <c r="AP97" s="117">
        <f t="shared" si="93"/>
        <v>0</v>
      </c>
      <c r="AQ97" s="117">
        <f t="shared" si="94"/>
        <v>0</v>
      </c>
      <c r="AR97" s="117">
        <f t="shared" si="95"/>
        <v>0</v>
      </c>
      <c r="AS97" s="161">
        <f t="shared" si="96"/>
        <v>0</v>
      </c>
      <c r="AT97" s="161">
        <f t="shared" si="97"/>
        <v>0</v>
      </c>
      <c r="AU97" s="161">
        <f t="shared" si="98"/>
        <v>0</v>
      </c>
      <c r="AV97" s="161">
        <f t="shared" si="99"/>
        <v>0</v>
      </c>
      <c r="AW97" s="161">
        <f t="shared" si="100"/>
        <v>0</v>
      </c>
      <c r="AX97" s="161">
        <f t="shared" si="101"/>
        <v>0</v>
      </c>
      <c r="AY97" s="161">
        <f t="shared" si="102"/>
        <v>0</v>
      </c>
      <c r="BD97" s="186" t="str">
        <f t="shared" si="109"/>
        <v>2IPSEMG MG</v>
      </c>
      <c r="BE97" s="186">
        <f t="shared" si="110"/>
        <v>2</v>
      </c>
      <c r="BF97" s="209" t="str">
        <f>'Base tabelas'!A76</f>
        <v>IPSEMG MG</v>
      </c>
      <c r="BG97" s="209" t="str">
        <f>'Base tabelas'!B76</f>
        <v>765632 - Tabela 2</v>
      </c>
      <c r="BH97" s="209">
        <f>'Base tabelas'!C76</f>
        <v>2.0499999999999997E-2</v>
      </c>
      <c r="BI97" s="209">
        <f>'Base tabelas'!D76</f>
        <v>120</v>
      </c>
      <c r="BJ97" s="209" t="str">
        <f>'Base tabelas'!E76</f>
        <v/>
      </c>
      <c r="BK97" s="209">
        <f>'Base tabelas'!F76</f>
        <v>2.4</v>
      </c>
      <c r="BL97" s="209">
        <f>'Base tabelas'!G76</f>
        <v>12</v>
      </c>
      <c r="BM97" s="209">
        <f>'Base tabelas'!H76</f>
        <v>47</v>
      </c>
      <c r="BN97" s="209" t="str">
        <f>'Base tabelas'!I76</f>
        <v>RFN - IPSEMG 2 DIG PORTABILIDADE</v>
      </c>
      <c r="BO97" s="209" t="str">
        <f>'Base tabelas'!J76</f>
        <v>1,64</v>
      </c>
      <c r="BP97" s="209">
        <f>'Base tabelas'!K76</f>
        <v>1.6399999999999998E-2</v>
      </c>
      <c r="BQ97" s="277">
        <f t="shared" si="122"/>
        <v>2.3413441940626188E-2</v>
      </c>
      <c r="BR97" s="278">
        <f t="shared" si="123"/>
        <v>2.4E-2</v>
      </c>
      <c r="BS97" s="279">
        <v>2.9999999999999997E-4</v>
      </c>
    </row>
    <row r="98" spans="3:71" hidden="1" x14ac:dyDescent="0.25">
      <c r="C98">
        <v>49</v>
      </c>
      <c r="D98" s="10">
        <f t="shared" ca="1" si="91"/>
        <v>46640</v>
      </c>
      <c r="E98" s="14">
        <f t="shared" ca="1" si="121"/>
        <v>22.73295472955116</v>
      </c>
      <c r="F98" s="14">
        <f t="shared" si="121"/>
        <v>0</v>
      </c>
      <c r="G98" s="14">
        <f t="shared" si="121"/>
        <v>0</v>
      </c>
      <c r="H98" s="14">
        <f t="shared" si="121"/>
        <v>0</v>
      </c>
      <c r="I98" s="14">
        <f t="shared" si="121"/>
        <v>0</v>
      </c>
      <c r="J98" s="14">
        <f t="shared" si="121"/>
        <v>0</v>
      </c>
      <c r="K98" s="14">
        <f t="shared" si="121"/>
        <v>0</v>
      </c>
      <c r="L98" s="14">
        <f t="shared" si="121"/>
        <v>0</v>
      </c>
      <c r="M98" s="14">
        <f t="shared" si="121"/>
        <v>0</v>
      </c>
      <c r="N98" s="14">
        <f t="shared" si="121"/>
        <v>0</v>
      </c>
      <c r="O98" s="224"/>
      <c r="Q98" s="161">
        <v>80</v>
      </c>
      <c r="R98" s="161">
        <f t="shared" si="111"/>
        <v>0</v>
      </c>
      <c r="S98" s="161">
        <f t="shared" si="112"/>
        <v>0</v>
      </c>
      <c r="T98" s="161">
        <f t="shared" si="113"/>
        <v>0</v>
      </c>
      <c r="U98" s="161">
        <f t="shared" si="114"/>
        <v>0</v>
      </c>
      <c r="V98" s="161">
        <f t="shared" si="115"/>
        <v>0</v>
      </c>
      <c r="W98" s="161">
        <f t="shared" si="116"/>
        <v>0</v>
      </c>
      <c r="X98" s="161">
        <f t="shared" si="117"/>
        <v>0</v>
      </c>
      <c r="Y98" s="161">
        <f t="shared" si="118"/>
        <v>0</v>
      </c>
      <c r="Z98" s="161">
        <f t="shared" si="119"/>
        <v>0</v>
      </c>
      <c r="AA98" s="161">
        <f t="shared" si="120"/>
        <v>0</v>
      </c>
      <c r="AB98" s="161"/>
      <c r="AC98" s="168">
        <v>80</v>
      </c>
      <c r="AD98" s="213">
        <f t="shared" ca="1" si="106"/>
        <v>47583</v>
      </c>
      <c r="AE98" s="260">
        <f t="shared" si="92"/>
        <v>0</v>
      </c>
      <c r="AF98" s="168"/>
      <c r="AG98" s="233">
        <v>80</v>
      </c>
      <c r="AH98" s="213">
        <f t="shared" ca="1" si="107"/>
        <v>47583</v>
      </c>
      <c r="AI98" s="260">
        <f t="shared" ca="1" si="103"/>
        <v>676.41</v>
      </c>
      <c r="AJ98" s="215">
        <f t="shared" ca="1" si="104"/>
        <v>147.58131813696502</v>
      </c>
      <c r="AK98" s="168">
        <v>80</v>
      </c>
      <c r="AL98" s="213">
        <f t="shared" ca="1" si="108"/>
        <v>47583</v>
      </c>
      <c r="AM98" s="260">
        <f t="shared" ca="1" si="105"/>
        <v>676.41</v>
      </c>
      <c r="AO98" s="161">
        <v>80</v>
      </c>
      <c r="AP98" s="117">
        <f t="shared" si="93"/>
        <v>0</v>
      </c>
      <c r="AQ98" s="117">
        <f t="shared" si="94"/>
        <v>0</v>
      </c>
      <c r="AR98" s="117">
        <f t="shared" si="95"/>
        <v>0</v>
      </c>
      <c r="AS98" s="161">
        <f t="shared" si="96"/>
        <v>0</v>
      </c>
      <c r="AT98" s="161">
        <f t="shared" si="97"/>
        <v>0</v>
      </c>
      <c r="AU98" s="161">
        <f t="shared" si="98"/>
        <v>0</v>
      </c>
      <c r="AV98" s="161">
        <f t="shared" si="99"/>
        <v>0</v>
      </c>
      <c r="AW98" s="161">
        <f t="shared" si="100"/>
        <v>0</v>
      </c>
      <c r="AX98" s="161">
        <f t="shared" si="101"/>
        <v>0</v>
      </c>
      <c r="AY98" s="161">
        <f t="shared" si="102"/>
        <v>0</v>
      </c>
      <c r="BD98" s="186" t="str">
        <f t="shared" si="109"/>
        <v>3IPSEMG MG</v>
      </c>
      <c r="BE98" s="186">
        <f t="shared" si="110"/>
        <v>3</v>
      </c>
      <c r="BF98" s="209" t="str">
        <f>'Base tabelas'!A77</f>
        <v>IPSEMG MG</v>
      </c>
      <c r="BG98" s="209" t="str">
        <f>'Base tabelas'!B77</f>
        <v>765633 - Tabela 3</v>
      </c>
      <c r="BH98" s="209">
        <f>'Base tabelas'!C77</f>
        <v>1.9400000000000001E-2</v>
      </c>
      <c r="BI98" s="209">
        <f>'Base tabelas'!D77</f>
        <v>120</v>
      </c>
      <c r="BJ98" s="209" t="str">
        <f>'Base tabelas'!E77</f>
        <v/>
      </c>
      <c r="BK98" s="209">
        <f>'Base tabelas'!F77</f>
        <v>2.4</v>
      </c>
      <c r="BL98" s="209">
        <f>'Base tabelas'!G77</f>
        <v>12</v>
      </c>
      <c r="BM98" s="209">
        <f>'Base tabelas'!H77</f>
        <v>46</v>
      </c>
      <c r="BN98" s="209" t="str">
        <f>'Base tabelas'!I77</f>
        <v>RFN - IPSEMG 3 DIG PORTABILIDADE</v>
      </c>
      <c r="BO98" s="209" t="str">
        <f>'Base tabelas'!J77</f>
        <v>1,64</v>
      </c>
      <c r="BP98" s="209">
        <f>'Base tabelas'!K77</f>
        <v>1.6399999999999998E-2</v>
      </c>
      <c r="BQ98" s="277">
        <f t="shared" si="122"/>
        <v>2.2426847838115851E-2</v>
      </c>
      <c r="BR98" s="278">
        <f t="shared" si="123"/>
        <v>2.4E-2</v>
      </c>
      <c r="BS98" s="279">
        <v>2.9999999999999997E-4</v>
      </c>
    </row>
    <row r="99" spans="3:71" hidden="1" x14ac:dyDescent="0.25">
      <c r="C99">
        <v>50</v>
      </c>
      <c r="D99" s="10">
        <f t="shared" ca="1" si="91"/>
        <v>46670</v>
      </c>
      <c r="E99" s="14">
        <f t="shared" ca="1" si="121"/>
        <v>22.313790181001057</v>
      </c>
      <c r="F99" s="14">
        <f t="shared" si="121"/>
        <v>0</v>
      </c>
      <c r="G99" s="14">
        <f t="shared" si="121"/>
        <v>0</v>
      </c>
      <c r="H99" s="14">
        <f t="shared" si="121"/>
        <v>0</v>
      </c>
      <c r="I99" s="14">
        <f t="shared" si="121"/>
        <v>0</v>
      </c>
      <c r="J99" s="14">
        <f t="shared" si="121"/>
        <v>0</v>
      </c>
      <c r="K99" s="14">
        <f t="shared" si="121"/>
        <v>0</v>
      </c>
      <c r="L99" s="14">
        <f t="shared" si="121"/>
        <v>0</v>
      </c>
      <c r="M99" s="14">
        <f t="shared" si="121"/>
        <v>0</v>
      </c>
      <c r="N99" s="14">
        <f t="shared" si="121"/>
        <v>0</v>
      </c>
      <c r="O99" s="224"/>
      <c r="Q99" s="161">
        <v>81</v>
      </c>
      <c r="R99" s="161">
        <f t="shared" si="111"/>
        <v>0</v>
      </c>
      <c r="S99" s="161">
        <f t="shared" si="112"/>
        <v>0</v>
      </c>
      <c r="T99" s="161">
        <f t="shared" si="113"/>
        <v>0</v>
      </c>
      <c r="U99" s="161">
        <f t="shared" si="114"/>
        <v>0</v>
      </c>
      <c r="V99" s="161">
        <f t="shared" si="115"/>
        <v>0</v>
      </c>
      <c r="W99" s="161">
        <f t="shared" si="116"/>
        <v>0</v>
      </c>
      <c r="X99" s="161">
        <f t="shared" si="117"/>
        <v>0</v>
      </c>
      <c r="Y99" s="161">
        <f t="shared" si="118"/>
        <v>0</v>
      </c>
      <c r="Z99" s="161">
        <f t="shared" si="119"/>
        <v>0</v>
      </c>
      <c r="AA99" s="161">
        <f t="shared" si="120"/>
        <v>0</v>
      </c>
      <c r="AB99" s="161"/>
      <c r="AC99" s="168">
        <v>81</v>
      </c>
      <c r="AD99" s="213">
        <f t="shared" ca="1" si="106"/>
        <v>47613</v>
      </c>
      <c r="AE99" s="260">
        <f t="shared" si="92"/>
        <v>0</v>
      </c>
      <c r="AF99" s="168"/>
      <c r="AG99" s="233">
        <v>81</v>
      </c>
      <c r="AH99" s="213">
        <f t="shared" ca="1" si="107"/>
        <v>47613</v>
      </c>
      <c r="AI99" s="260">
        <f t="shared" ca="1" si="103"/>
        <v>676.41</v>
      </c>
      <c r="AJ99" s="215">
        <f t="shared" ca="1" si="104"/>
        <v>144.81534504657546</v>
      </c>
      <c r="AK99" s="168">
        <v>81</v>
      </c>
      <c r="AL99" s="213">
        <f t="shared" ca="1" si="108"/>
        <v>47613</v>
      </c>
      <c r="AM99" s="260">
        <f t="shared" ca="1" si="105"/>
        <v>676.41</v>
      </c>
      <c r="AO99" s="161">
        <v>81</v>
      </c>
      <c r="AP99" s="117">
        <f t="shared" si="93"/>
        <v>0</v>
      </c>
      <c r="AQ99" s="117">
        <f t="shared" si="94"/>
        <v>0</v>
      </c>
      <c r="AR99" s="117">
        <f t="shared" si="95"/>
        <v>0</v>
      </c>
      <c r="AS99" s="161">
        <f t="shared" si="96"/>
        <v>0</v>
      </c>
      <c r="AT99" s="161">
        <f t="shared" si="97"/>
        <v>0</v>
      </c>
      <c r="AU99" s="161">
        <f t="shared" si="98"/>
        <v>0</v>
      </c>
      <c r="AV99" s="161">
        <f t="shared" si="99"/>
        <v>0</v>
      </c>
      <c r="AW99" s="161">
        <f t="shared" si="100"/>
        <v>0</v>
      </c>
      <c r="AX99" s="161">
        <f t="shared" si="101"/>
        <v>0</v>
      </c>
      <c r="AY99" s="161">
        <f t="shared" si="102"/>
        <v>0</v>
      </c>
      <c r="BD99" s="186" t="str">
        <f t="shared" si="109"/>
        <v>4IPSEMG MG</v>
      </c>
      <c r="BE99" s="186">
        <f t="shared" si="110"/>
        <v>4</v>
      </c>
      <c r="BF99" s="209" t="str">
        <f>'Base tabelas'!A78</f>
        <v>IPSEMG MG</v>
      </c>
      <c r="BG99" s="209" t="str">
        <f>'Base tabelas'!B78</f>
        <v>765634 - Tabela 4</v>
      </c>
      <c r="BH99" s="209">
        <f>'Base tabelas'!C78</f>
        <v>1.7899999999999999E-2</v>
      </c>
      <c r="BI99" s="209">
        <f>'Base tabelas'!D78</f>
        <v>120</v>
      </c>
      <c r="BJ99" s="209" t="str">
        <f>'Base tabelas'!E78</f>
        <v/>
      </c>
      <c r="BK99" s="209">
        <f>'Base tabelas'!F78</f>
        <v>2.4</v>
      </c>
      <c r="BL99" s="209">
        <f>'Base tabelas'!G78</f>
        <v>12</v>
      </c>
      <c r="BM99" s="209">
        <f>'Base tabelas'!H78</f>
        <v>47</v>
      </c>
      <c r="BN99" s="209" t="str">
        <f>'Base tabelas'!I78</f>
        <v>RFN - IPSEMG 4 DIG PORTABILIDADE</v>
      </c>
      <c r="BO99" s="209" t="str">
        <f>'Base tabelas'!J78</f>
        <v>1,64</v>
      </c>
      <c r="BP99" s="209">
        <f>'Base tabelas'!K78</f>
        <v>1.6399999999999998E-2</v>
      </c>
      <c r="BQ99" s="277">
        <f t="shared" si="122"/>
        <v>2.1141244685711175E-2</v>
      </c>
      <c r="BR99" s="278">
        <f t="shared" si="123"/>
        <v>2.4E-2</v>
      </c>
      <c r="BS99" s="279">
        <v>2.9999999999999997E-4</v>
      </c>
    </row>
    <row r="100" spans="3:71" hidden="1" x14ac:dyDescent="0.25">
      <c r="C100">
        <v>51</v>
      </c>
      <c r="D100" s="10">
        <f t="shared" ca="1" si="91"/>
        <v>46701</v>
      </c>
      <c r="E100" s="14">
        <f t="shared" ref="E100:N109" ca="1" si="124">IF($C100&lt;=E$17,E$18/(($D$48+1)^(($D100-$D$49)/30)),0)</f>
        <v>21.888771364837563</v>
      </c>
      <c r="F100" s="14">
        <f t="shared" si="124"/>
        <v>0</v>
      </c>
      <c r="G100" s="14">
        <f t="shared" si="124"/>
        <v>0</v>
      </c>
      <c r="H100" s="14">
        <f t="shared" si="124"/>
        <v>0</v>
      </c>
      <c r="I100" s="14">
        <f t="shared" si="124"/>
        <v>0</v>
      </c>
      <c r="J100" s="14">
        <f t="shared" si="124"/>
        <v>0</v>
      </c>
      <c r="K100" s="14">
        <f t="shared" si="124"/>
        <v>0</v>
      </c>
      <c r="L100" s="14">
        <f t="shared" si="124"/>
        <v>0</v>
      </c>
      <c r="M100" s="14">
        <f t="shared" si="124"/>
        <v>0</v>
      </c>
      <c r="N100" s="14">
        <f t="shared" si="124"/>
        <v>0</v>
      </c>
      <c r="O100" s="224"/>
      <c r="Q100" s="161">
        <v>82</v>
      </c>
      <c r="R100" s="161">
        <f t="shared" si="111"/>
        <v>0</v>
      </c>
      <c r="S100" s="161">
        <f t="shared" si="112"/>
        <v>0</v>
      </c>
      <c r="T100" s="161">
        <f t="shared" si="113"/>
        <v>0</v>
      </c>
      <c r="U100" s="161">
        <f t="shared" si="114"/>
        <v>0</v>
      </c>
      <c r="V100" s="161">
        <f t="shared" si="115"/>
        <v>0</v>
      </c>
      <c r="W100" s="161">
        <f t="shared" si="116"/>
        <v>0</v>
      </c>
      <c r="X100" s="161">
        <f t="shared" si="117"/>
        <v>0</v>
      </c>
      <c r="Y100" s="161">
        <f t="shared" si="118"/>
        <v>0</v>
      </c>
      <c r="Z100" s="161">
        <f t="shared" si="119"/>
        <v>0</v>
      </c>
      <c r="AA100" s="161">
        <f t="shared" si="120"/>
        <v>0</v>
      </c>
      <c r="AB100" s="161"/>
      <c r="AC100" s="168">
        <v>82</v>
      </c>
      <c r="AD100" s="213">
        <f t="shared" ca="1" si="106"/>
        <v>47644</v>
      </c>
      <c r="AE100" s="260">
        <f t="shared" si="92"/>
        <v>0</v>
      </c>
      <c r="AF100" s="168"/>
      <c r="AG100" s="233">
        <v>82</v>
      </c>
      <c r="AH100" s="213">
        <f t="shared" ca="1" si="107"/>
        <v>47644</v>
      </c>
      <c r="AI100" s="260">
        <f t="shared" ca="1" si="103"/>
        <v>676.41</v>
      </c>
      <c r="AJ100" s="215">
        <f t="shared" ca="1" si="104"/>
        <v>142.01162220049682</v>
      </c>
      <c r="AK100" s="168">
        <v>82</v>
      </c>
      <c r="AL100" s="213">
        <f t="shared" ca="1" si="108"/>
        <v>47644</v>
      </c>
      <c r="AM100" s="260">
        <f t="shared" ca="1" si="105"/>
        <v>676.41</v>
      </c>
      <c r="AO100" s="161">
        <v>82</v>
      </c>
      <c r="AP100" s="117">
        <f t="shared" si="93"/>
        <v>0</v>
      </c>
      <c r="AQ100" s="117">
        <f t="shared" si="94"/>
        <v>0</v>
      </c>
      <c r="AR100" s="117">
        <f t="shared" si="95"/>
        <v>0</v>
      </c>
      <c r="AS100" s="161">
        <f t="shared" si="96"/>
        <v>0</v>
      </c>
      <c r="AT100" s="161">
        <f t="shared" si="97"/>
        <v>0</v>
      </c>
      <c r="AU100" s="161">
        <f t="shared" si="98"/>
        <v>0</v>
      </c>
      <c r="AV100" s="161">
        <f t="shared" si="99"/>
        <v>0</v>
      </c>
      <c r="AW100" s="161">
        <f t="shared" si="100"/>
        <v>0</v>
      </c>
      <c r="AX100" s="161">
        <f t="shared" si="101"/>
        <v>0</v>
      </c>
      <c r="AY100" s="161">
        <f t="shared" si="102"/>
        <v>0</v>
      </c>
      <c r="BD100" s="186" t="str">
        <f t="shared" si="109"/>
        <v>1IPSM MG</v>
      </c>
      <c r="BE100" s="186">
        <f t="shared" si="110"/>
        <v>1</v>
      </c>
      <c r="BF100" s="209" t="str">
        <f>'Base tabelas'!A79</f>
        <v>IPSM MG</v>
      </c>
      <c r="BG100" s="209" t="str">
        <f>'Base tabelas'!B79</f>
        <v>765643 - Tabela 3</v>
      </c>
      <c r="BH100" s="209">
        <f>'Base tabelas'!C79</f>
        <v>1.9400000000000001E-2</v>
      </c>
      <c r="BI100" s="209">
        <f>'Base tabelas'!D79</f>
        <v>120</v>
      </c>
      <c r="BJ100" s="209" t="str">
        <f>'Base tabelas'!E79</f>
        <v/>
      </c>
      <c r="BK100" s="209">
        <f>'Base tabelas'!F79</f>
        <v>2.4</v>
      </c>
      <c r="BL100" s="209">
        <f>'Base tabelas'!G79</f>
        <v>10</v>
      </c>
      <c r="BM100" s="209">
        <f>'Base tabelas'!H79</f>
        <v>46</v>
      </c>
      <c r="BN100" s="209" t="str">
        <f>'Base tabelas'!I79</f>
        <v>RFN - IPSM 3 DIG PORTABILIDADE</v>
      </c>
      <c r="BO100" s="209" t="str">
        <f>'Base tabelas'!J79</f>
        <v>1,64</v>
      </c>
      <c r="BP100" s="209">
        <f>'Base tabelas'!K79</f>
        <v>1.6399999999999998E-2</v>
      </c>
      <c r="BQ100" s="277">
        <f t="shared" si="122"/>
        <v>2.2426847838115851E-2</v>
      </c>
      <c r="BR100" s="278">
        <f t="shared" si="123"/>
        <v>2.4E-2</v>
      </c>
      <c r="BS100" s="279">
        <v>2.9999999999999997E-4</v>
      </c>
    </row>
    <row r="101" spans="3:71" hidden="1" x14ac:dyDescent="0.25">
      <c r="C101">
        <v>52</v>
      </c>
      <c r="D101" s="10">
        <f t="shared" ca="1" si="91"/>
        <v>46731</v>
      </c>
      <c r="E101" s="14">
        <f t="shared" ca="1" si="124"/>
        <v>21.485172401279524</v>
      </c>
      <c r="F101" s="14">
        <f t="shared" si="124"/>
        <v>0</v>
      </c>
      <c r="G101" s="14">
        <f t="shared" si="124"/>
        <v>0</v>
      </c>
      <c r="H101" s="14">
        <f t="shared" si="124"/>
        <v>0</v>
      </c>
      <c r="I101" s="14">
        <f t="shared" si="124"/>
        <v>0</v>
      </c>
      <c r="J101" s="14">
        <f t="shared" si="124"/>
        <v>0</v>
      </c>
      <c r="K101" s="14">
        <f t="shared" si="124"/>
        <v>0</v>
      </c>
      <c r="L101" s="14">
        <f t="shared" si="124"/>
        <v>0</v>
      </c>
      <c r="M101" s="14">
        <f t="shared" si="124"/>
        <v>0</v>
      </c>
      <c r="N101" s="14">
        <f t="shared" si="124"/>
        <v>0</v>
      </c>
      <c r="O101" s="224"/>
      <c r="Q101" s="161">
        <v>83</v>
      </c>
      <c r="R101" s="161">
        <f t="shared" si="111"/>
        <v>0</v>
      </c>
      <c r="S101" s="161">
        <f t="shared" si="112"/>
        <v>0</v>
      </c>
      <c r="T101" s="161">
        <f t="shared" si="113"/>
        <v>0</v>
      </c>
      <c r="U101" s="161">
        <f t="shared" si="114"/>
        <v>0</v>
      </c>
      <c r="V101" s="161">
        <f t="shared" si="115"/>
        <v>0</v>
      </c>
      <c r="W101" s="161">
        <f t="shared" si="116"/>
        <v>0</v>
      </c>
      <c r="X101" s="161">
        <f t="shared" si="117"/>
        <v>0</v>
      </c>
      <c r="Y101" s="161">
        <f t="shared" si="118"/>
        <v>0</v>
      </c>
      <c r="Z101" s="161">
        <f t="shared" si="119"/>
        <v>0</v>
      </c>
      <c r="AA101" s="161">
        <f t="shared" si="120"/>
        <v>0</v>
      </c>
      <c r="AB101" s="161"/>
      <c r="AC101" s="168">
        <v>83</v>
      </c>
      <c r="AD101" s="213">
        <f t="shared" ca="1" si="106"/>
        <v>47674</v>
      </c>
      <c r="AE101" s="260">
        <f t="shared" si="92"/>
        <v>0</v>
      </c>
      <c r="AF101" s="168"/>
      <c r="AG101" s="233">
        <v>83</v>
      </c>
      <c r="AH101" s="213">
        <f t="shared" ca="1" si="107"/>
        <v>47674</v>
      </c>
      <c r="AI101" s="260">
        <f t="shared" ca="1" si="103"/>
        <v>676.41</v>
      </c>
      <c r="AJ101" s="215">
        <f t="shared" ca="1" si="104"/>
        <v>139.35003650328409</v>
      </c>
      <c r="AK101" s="168">
        <v>83</v>
      </c>
      <c r="AL101" s="213">
        <f t="shared" ca="1" si="108"/>
        <v>47674</v>
      </c>
      <c r="AM101" s="260">
        <f t="shared" ca="1" si="105"/>
        <v>676.41</v>
      </c>
      <c r="AO101" s="161">
        <v>83</v>
      </c>
      <c r="AP101" s="117">
        <f t="shared" si="93"/>
        <v>0</v>
      </c>
      <c r="AQ101" s="117">
        <f t="shared" si="94"/>
        <v>0</v>
      </c>
      <c r="AR101" s="117">
        <f t="shared" si="95"/>
        <v>0</v>
      </c>
      <c r="AS101" s="161">
        <f t="shared" si="96"/>
        <v>0</v>
      </c>
      <c r="AT101" s="161">
        <f t="shared" si="97"/>
        <v>0</v>
      </c>
      <c r="AU101" s="161">
        <f t="shared" si="98"/>
        <v>0</v>
      </c>
      <c r="AV101" s="161">
        <f t="shared" si="99"/>
        <v>0</v>
      </c>
      <c r="AW101" s="161">
        <f t="shared" si="100"/>
        <v>0</v>
      </c>
      <c r="AX101" s="161">
        <f t="shared" si="101"/>
        <v>0</v>
      </c>
      <c r="AY101" s="161">
        <f t="shared" si="102"/>
        <v>0</v>
      </c>
      <c r="BD101" s="186" t="str">
        <f t="shared" si="109"/>
        <v>1MANAUSPREV</v>
      </c>
      <c r="BE101" s="186">
        <f t="shared" si="110"/>
        <v>1</v>
      </c>
      <c r="BF101" s="209" t="str">
        <f>'Base tabelas'!A80</f>
        <v>MANAUSPREV</v>
      </c>
      <c r="BG101" s="209" t="str">
        <f>'Base tabelas'!B80</f>
        <v>705531 - Tabela 1</v>
      </c>
      <c r="BH101" s="209">
        <f>'Base tabelas'!C80</f>
        <v>2.3E-2</v>
      </c>
      <c r="BI101" s="209">
        <f>'Base tabelas'!D80</f>
        <v>96</v>
      </c>
      <c r="BJ101" s="209" t="str">
        <f>'Base tabelas'!E80</f>
        <v/>
      </c>
      <c r="BK101" s="209">
        <f>'Base tabelas'!F80</f>
        <v>2.8</v>
      </c>
      <c r="BL101" s="209">
        <f>'Base tabelas'!G80</f>
        <v>25</v>
      </c>
      <c r="BM101" s="209">
        <f>'Base tabelas'!H80</f>
        <v>74</v>
      </c>
      <c r="BN101" s="209" t="str">
        <f>'Base tabelas'!I80</f>
        <v>RFN - MANAUSPREV DIG PORTAB PLUS 1</v>
      </c>
      <c r="BO101" s="209" t="str">
        <f>'Base tabelas'!J80</f>
        <v>1,85</v>
      </c>
      <c r="BP101" s="209">
        <f>'Base tabelas'!K80</f>
        <v>1.8500000000000003E-2</v>
      </c>
      <c r="BQ101" s="277">
        <f t="shared" si="122"/>
        <v>2.760911288490615E-2</v>
      </c>
      <c r="BR101" s="278">
        <f t="shared" si="123"/>
        <v>2.7999999999999997E-2</v>
      </c>
      <c r="BS101" s="279">
        <v>2.9999999999999997E-4</v>
      </c>
    </row>
    <row r="102" spans="3:71" hidden="1" x14ac:dyDescent="0.25">
      <c r="C102">
        <v>53</v>
      </c>
      <c r="D102" s="10">
        <f t="shared" ca="1" si="91"/>
        <v>46762</v>
      </c>
      <c r="E102" s="14">
        <f t="shared" ca="1" si="124"/>
        <v>21.075936567071707</v>
      </c>
      <c r="F102" s="14">
        <f t="shared" si="124"/>
        <v>0</v>
      </c>
      <c r="G102" s="14">
        <f t="shared" si="124"/>
        <v>0</v>
      </c>
      <c r="H102" s="14">
        <f t="shared" si="124"/>
        <v>0</v>
      </c>
      <c r="I102" s="14">
        <f t="shared" si="124"/>
        <v>0</v>
      </c>
      <c r="J102" s="14">
        <f t="shared" si="124"/>
        <v>0</v>
      </c>
      <c r="K102" s="14">
        <f t="shared" si="124"/>
        <v>0</v>
      </c>
      <c r="L102" s="14">
        <f t="shared" si="124"/>
        <v>0</v>
      </c>
      <c r="M102" s="14">
        <f t="shared" si="124"/>
        <v>0</v>
      </c>
      <c r="N102" s="14">
        <f t="shared" si="124"/>
        <v>0</v>
      </c>
      <c r="O102" s="224"/>
      <c r="Q102" s="161">
        <v>84</v>
      </c>
      <c r="R102" s="161">
        <f t="shared" si="111"/>
        <v>0</v>
      </c>
      <c r="S102" s="161">
        <f t="shared" si="112"/>
        <v>0</v>
      </c>
      <c r="T102" s="161">
        <f t="shared" si="113"/>
        <v>0</v>
      </c>
      <c r="U102" s="161">
        <f t="shared" si="114"/>
        <v>0</v>
      </c>
      <c r="V102" s="161">
        <f t="shared" si="115"/>
        <v>0</v>
      </c>
      <c r="W102" s="161">
        <f t="shared" si="116"/>
        <v>0</v>
      </c>
      <c r="X102" s="161">
        <f t="shared" si="117"/>
        <v>0</v>
      </c>
      <c r="Y102" s="161">
        <f t="shared" si="118"/>
        <v>0</v>
      </c>
      <c r="Z102" s="161">
        <f t="shared" si="119"/>
        <v>0</v>
      </c>
      <c r="AA102" s="161">
        <f t="shared" si="120"/>
        <v>0</v>
      </c>
      <c r="AB102" s="161"/>
      <c r="AC102" s="168">
        <v>84</v>
      </c>
      <c r="AD102" s="213">
        <f t="shared" ca="1" si="106"/>
        <v>47705</v>
      </c>
      <c r="AE102" s="260">
        <f t="shared" si="92"/>
        <v>0</v>
      </c>
      <c r="AF102" s="168"/>
      <c r="AG102" s="233">
        <v>84</v>
      </c>
      <c r="AH102" s="213">
        <f t="shared" ca="1" si="107"/>
        <v>47705</v>
      </c>
      <c r="AI102" s="260">
        <f t="shared" ca="1" si="103"/>
        <v>676.41</v>
      </c>
      <c r="AJ102" s="215">
        <f t="shared" ca="1" si="104"/>
        <v>136.6521257202763</v>
      </c>
      <c r="AK102" s="168">
        <v>84</v>
      </c>
      <c r="AL102" s="213">
        <f t="shared" ca="1" si="108"/>
        <v>47705</v>
      </c>
      <c r="AM102" s="260">
        <f t="shared" ca="1" si="105"/>
        <v>676.41</v>
      </c>
      <c r="AO102" s="161">
        <v>84</v>
      </c>
      <c r="AP102" s="117">
        <f t="shared" si="93"/>
        <v>0</v>
      </c>
      <c r="AQ102" s="117">
        <f t="shared" si="94"/>
        <v>0</v>
      </c>
      <c r="AR102" s="117">
        <f t="shared" si="95"/>
        <v>0</v>
      </c>
      <c r="AS102" s="161">
        <f t="shared" si="96"/>
        <v>0</v>
      </c>
      <c r="AT102" s="161">
        <f t="shared" si="97"/>
        <v>0</v>
      </c>
      <c r="AU102" s="161">
        <f t="shared" si="98"/>
        <v>0</v>
      </c>
      <c r="AV102" s="161">
        <f t="shared" si="99"/>
        <v>0</v>
      </c>
      <c r="AW102" s="161">
        <f t="shared" si="100"/>
        <v>0</v>
      </c>
      <c r="AX102" s="161">
        <f t="shared" si="101"/>
        <v>0</v>
      </c>
      <c r="AY102" s="161">
        <f t="shared" si="102"/>
        <v>0</v>
      </c>
      <c r="BD102" s="186" t="str">
        <f t="shared" si="109"/>
        <v>2MANAUSPREV</v>
      </c>
      <c r="BE102" s="186">
        <f t="shared" si="110"/>
        <v>2</v>
      </c>
      <c r="BF102" s="209" t="str">
        <f>'Base tabelas'!A81</f>
        <v>MANAUSPREV</v>
      </c>
      <c r="BG102" s="209" t="str">
        <f>'Base tabelas'!B81</f>
        <v>705532 - Tabela 2</v>
      </c>
      <c r="BH102" s="209">
        <f>'Base tabelas'!C81</f>
        <v>2.2000000000000002E-2</v>
      </c>
      <c r="BI102" s="209">
        <f>'Base tabelas'!D81</f>
        <v>96</v>
      </c>
      <c r="BJ102" s="209" t="str">
        <f>'Base tabelas'!E81</f>
        <v/>
      </c>
      <c r="BK102" s="209">
        <f>'Base tabelas'!F81</f>
        <v>2.8</v>
      </c>
      <c r="BL102" s="209">
        <f>'Base tabelas'!G81</f>
        <v>25</v>
      </c>
      <c r="BM102" s="209">
        <f>'Base tabelas'!H81</f>
        <v>73</v>
      </c>
      <c r="BN102" s="209" t="str">
        <f>'Base tabelas'!I81</f>
        <v>RFN - MANAUSPREV DIG PORTAB PLUS 2</v>
      </c>
      <c r="BO102" s="209" t="str">
        <f>'Base tabelas'!J81</f>
        <v>1,85</v>
      </c>
      <c r="BP102" s="209">
        <f>'Base tabelas'!K81</f>
        <v>1.8500000000000003E-2</v>
      </c>
      <c r="BQ102" s="277">
        <f t="shared" si="122"/>
        <v>2.6685397482318549E-2</v>
      </c>
      <c r="BR102" s="278">
        <f t="shared" si="123"/>
        <v>2.7999999999999997E-2</v>
      </c>
      <c r="BS102" s="279">
        <v>2.9999999999999997E-4</v>
      </c>
    </row>
    <row r="103" spans="3:71" hidden="1" x14ac:dyDescent="0.25">
      <c r="C103">
        <v>54</v>
      </c>
      <c r="D103" s="10">
        <f t="shared" ca="1" si="91"/>
        <v>46793</v>
      </c>
      <c r="E103" s="14">
        <f t="shared" ca="1" si="124"/>
        <v>20.674495595519474</v>
      </c>
      <c r="F103" s="14">
        <f t="shared" si="124"/>
        <v>0</v>
      </c>
      <c r="G103" s="14">
        <f t="shared" si="124"/>
        <v>0</v>
      </c>
      <c r="H103" s="14">
        <f t="shared" si="124"/>
        <v>0</v>
      </c>
      <c r="I103" s="14">
        <f t="shared" si="124"/>
        <v>0</v>
      </c>
      <c r="J103" s="14">
        <f t="shared" si="124"/>
        <v>0</v>
      </c>
      <c r="K103" s="14">
        <f t="shared" si="124"/>
        <v>0</v>
      </c>
      <c r="L103" s="14">
        <f t="shared" si="124"/>
        <v>0</v>
      </c>
      <c r="M103" s="14">
        <f t="shared" si="124"/>
        <v>0</v>
      </c>
      <c r="N103" s="14">
        <f t="shared" si="124"/>
        <v>0</v>
      </c>
      <c r="O103" s="224"/>
      <c r="Q103" s="161">
        <v>85</v>
      </c>
      <c r="R103" s="161">
        <f t="shared" si="111"/>
        <v>0</v>
      </c>
      <c r="S103" s="161">
        <f t="shared" si="112"/>
        <v>0</v>
      </c>
      <c r="T103" s="161">
        <f t="shared" si="113"/>
        <v>0</v>
      </c>
      <c r="U103" s="161">
        <f t="shared" si="114"/>
        <v>0</v>
      </c>
      <c r="V103" s="161">
        <f t="shared" si="115"/>
        <v>0</v>
      </c>
      <c r="W103" s="161">
        <f t="shared" si="116"/>
        <v>0</v>
      </c>
      <c r="X103" s="161">
        <f t="shared" si="117"/>
        <v>0</v>
      </c>
      <c r="Y103" s="161">
        <f t="shared" si="118"/>
        <v>0</v>
      </c>
      <c r="Z103" s="161">
        <f t="shared" si="119"/>
        <v>0</v>
      </c>
      <c r="AA103" s="161">
        <f t="shared" si="120"/>
        <v>0</v>
      </c>
      <c r="AB103" s="161"/>
      <c r="AC103" s="168">
        <v>85</v>
      </c>
      <c r="AD103" s="213">
        <f t="shared" ca="1" si="106"/>
        <v>47736</v>
      </c>
      <c r="AE103" s="260">
        <f t="shared" ref="AE103:AE162" si="125">SUM(R103:AA103)</f>
        <v>0</v>
      </c>
      <c r="AF103" s="168"/>
      <c r="AG103" s="233">
        <v>85</v>
      </c>
      <c r="AH103" s="213">
        <f t="shared" ca="1" si="107"/>
        <v>47736</v>
      </c>
      <c r="AI103" s="260">
        <f t="shared" si="103"/>
        <v>0</v>
      </c>
      <c r="AJ103" s="215">
        <f t="shared" ca="1" si="104"/>
        <v>0</v>
      </c>
      <c r="AK103" s="168">
        <v>85</v>
      </c>
      <c r="AL103" s="213">
        <f t="shared" ca="1" si="108"/>
        <v>47736</v>
      </c>
      <c r="AM103" s="260">
        <f t="shared" si="105"/>
        <v>0</v>
      </c>
      <c r="AO103" s="161">
        <v>85</v>
      </c>
      <c r="AP103" s="117">
        <f t="shared" ref="AP103:AP114" si="126">IF($Q103&lt;=E$17,E$18,0)</f>
        <v>0</v>
      </c>
      <c r="AQ103" s="117">
        <f t="shared" ref="AQ103:AQ114" si="127">IF($Q103&lt;=F$17,F$18,0)</f>
        <v>0</v>
      </c>
      <c r="AR103" s="117">
        <f t="shared" ref="AR103:AR114" si="128">IF($Q103&lt;=G$17,G$18,0)</f>
        <v>0</v>
      </c>
      <c r="AS103" s="161">
        <f t="shared" ref="AS103:AS114" si="129">IF($Q103&lt;=H$17,H$18,0)</f>
        <v>0</v>
      </c>
      <c r="AT103" s="161">
        <f t="shared" ref="AT103:AT114" si="130">IF($Q103&lt;=I$17,I$18,0)</f>
        <v>0</v>
      </c>
      <c r="AU103" s="161">
        <f t="shared" ref="AU103:AU114" si="131">IF($Q103&lt;=J$17,J$18,0)</f>
        <v>0</v>
      </c>
      <c r="AV103" s="161">
        <f t="shared" ref="AV103:AV114" si="132">IF($Q103&lt;=K$17,K$18,0)</f>
        <v>0</v>
      </c>
      <c r="AW103" s="161">
        <f t="shared" ref="AW103:AW114" si="133">IF($Q103&lt;=L$17,L$18,0)</f>
        <v>0</v>
      </c>
      <c r="AX103" s="161">
        <f t="shared" ref="AX103:AX114" si="134">IF($Q103&lt;=M$17,M$18,0)</f>
        <v>0</v>
      </c>
      <c r="AY103" s="161">
        <f t="shared" ref="AY103:AY114" si="135">IF($Q103&lt;=N$17,N$18,0)</f>
        <v>0</v>
      </c>
      <c r="BD103" s="186" t="str">
        <f t="shared" si="109"/>
        <v>3MANAUSPREV</v>
      </c>
      <c r="BE103" s="186">
        <f t="shared" si="110"/>
        <v>3</v>
      </c>
      <c r="BF103" s="209" t="str">
        <f>'Base tabelas'!A82</f>
        <v>MANAUSPREV</v>
      </c>
      <c r="BG103" s="209" t="str">
        <f>'Base tabelas'!B82</f>
        <v>705533 - Tabela 3</v>
      </c>
      <c r="BH103" s="209">
        <f>'Base tabelas'!C82</f>
        <v>2.1000000000000001E-2</v>
      </c>
      <c r="BI103" s="209">
        <f>'Base tabelas'!D82</f>
        <v>96</v>
      </c>
      <c r="BJ103" s="209" t="str">
        <f>'Base tabelas'!E82</f>
        <v/>
      </c>
      <c r="BK103" s="209">
        <f>'Base tabelas'!F82</f>
        <v>2.8</v>
      </c>
      <c r="BL103" s="209">
        <f>'Base tabelas'!G82</f>
        <v>25</v>
      </c>
      <c r="BM103" s="209">
        <f>'Base tabelas'!H82</f>
        <v>69</v>
      </c>
      <c r="BN103" s="209" t="str">
        <f>'Base tabelas'!I82</f>
        <v>RFN - MANAUSPREV DIG PORTAB PLUS 3</v>
      </c>
      <c r="BO103" s="209" t="str">
        <f>'Base tabelas'!J82</f>
        <v>1,85</v>
      </c>
      <c r="BP103" s="209">
        <f>'Base tabelas'!K82</f>
        <v>1.8500000000000003E-2</v>
      </c>
      <c r="BQ103" s="277">
        <f t="shared" si="122"/>
        <v>2.5724463021820666E-2</v>
      </c>
      <c r="BR103" s="278">
        <f t="shared" si="123"/>
        <v>2.7999999999999997E-2</v>
      </c>
      <c r="BS103" s="279">
        <v>2.9999999999999997E-4</v>
      </c>
    </row>
    <row r="104" spans="3:71" hidden="1" x14ac:dyDescent="0.25">
      <c r="C104">
        <v>55</v>
      </c>
      <c r="D104" s="10">
        <f t="shared" ca="1" si="91"/>
        <v>46822</v>
      </c>
      <c r="E104" s="14">
        <f t="shared" ca="1" si="124"/>
        <v>20.305879222670569</v>
      </c>
      <c r="F104" s="14">
        <f t="shared" si="124"/>
        <v>0</v>
      </c>
      <c r="G104" s="14">
        <f t="shared" si="124"/>
        <v>0</v>
      </c>
      <c r="H104" s="14">
        <f t="shared" si="124"/>
        <v>0</v>
      </c>
      <c r="I104" s="14">
        <f t="shared" si="124"/>
        <v>0</v>
      </c>
      <c r="J104" s="14">
        <f t="shared" si="124"/>
        <v>0</v>
      </c>
      <c r="K104" s="14">
        <f t="shared" si="124"/>
        <v>0</v>
      </c>
      <c r="L104" s="14">
        <f t="shared" si="124"/>
        <v>0</v>
      </c>
      <c r="M104" s="14">
        <f t="shared" si="124"/>
        <v>0</v>
      </c>
      <c r="N104" s="14">
        <f t="shared" si="124"/>
        <v>0</v>
      </c>
      <c r="O104" s="224"/>
      <c r="Q104" s="161">
        <v>86</v>
      </c>
      <c r="R104" s="161">
        <f t="shared" si="111"/>
        <v>0</v>
      </c>
      <c r="S104" s="161">
        <f t="shared" si="112"/>
        <v>0</v>
      </c>
      <c r="T104" s="161">
        <f t="shared" si="113"/>
        <v>0</v>
      </c>
      <c r="U104" s="161">
        <f t="shared" si="114"/>
        <v>0</v>
      </c>
      <c r="V104" s="161">
        <f t="shared" si="115"/>
        <v>0</v>
      </c>
      <c r="W104" s="161">
        <f t="shared" si="116"/>
        <v>0</v>
      </c>
      <c r="X104" s="161">
        <f t="shared" si="117"/>
        <v>0</v>
      </c>
      <c r="Y104" s="161">
        <f t="shared" si="118"/>
        <v>0</v>
      </c>
      <c r="Z104" s="161">
        <f t="shared" si="119"/>
        <v>0</v>
      </c>
      <c r="AA104" s="161">
        <f t="shared" si="120"/>
        <v>0</v>
      </c>
      <c r="AB104" s="161"/>
      <c r="AC104" s="168">
        <v>86</v>
      </c>
      <c r="AD104" s="213">
        <f t="shared" ca="1" si="106"/>
        <v>47766</v>
      </c>
      <c r="AE104" s="260">
        <f t="shared" si="125"/>
        <v>0</v>
      </c>
      <c r="AF104" s="168"/>
      <c r="AG104" s="233">
        <v>86</v>
      </c>
      <c r="AH104" s="213">
        <f t="shared" ca="1" si="107"/>
        <v>47766</v>
      </c>
      <c r="AI104" s="260">
        <f t="shared" si="103"/>
        <v>0</v>
      </c>
      <c r="AJ104" s="215">
        <f t="shared" ca="1" si="104"/>
        <v>0</v>
      </c>
      <c r="AK104" s="168">
        <v>86</v>
      </c>
      <c r="AL104" s="213">
        <f t="shared" ca="1" si="108"/>
        <v>47766</v>
      </c>
      <c r="AM104" s="260">
        <f t="shared" si="105"/>
        <v>0</v>
      </c>
      <c r="AO104" s="161">
        <v>86</v>
      </c>
      <c r="AP104" s="117">
        <f t="shared" si="126"/>
        <v>0</v>
      </c>
      <c r="AQ104" s="117">
        <f t="shared" si="127"/>
        <v>0</v>
      </c>
      <c r="AR104" s="117">
        <f t="shared" si="128"/>
        <v>0</v>
      </c>
      <c r="AS104" s="161">
        <f t="shared" si="129"/>
        <v>0</v>
      </c>
      <c r="AT104" s="161">
        <f t="shared" si="130"/>
        <v>0</v>
      </c>
      <c r="AU104" s="161">
        <f t="shared" si="131"/>
        <v>0</v>
      </c>
      <c r="AV104" s="161">
        <f t="shared" si="132"/>
        <v>0</v>
      </c>
      <c r="AW104" s="161">
        <f t="shared" si="133"/>
        <v>0</v>
      </c>
      <c r="AX104" s="161">
        <f t="shared" si="134"/>
        <v>0</v>
      </c>
      <c r="AY104" s="161">
        <f t="shared" si="135"/>
        <v>0</v>
      </c>
      <c r="BD104" s="186" t="str">
        <f t="shared" si="109"/>
        <v>1MARINHA</v>
      </c>
      <c r="BE104" s="186">
        <f t="shared" si="110"/>
        <v>1</v>
      </c>
      <c r="BF104" s="209" t="str">
        <f>'Base tabelas'!A83</f>
        <v>MARINHA</v>
      </c>
      <c r="BG104" s="209" t="str">
        <f>'Base tabelas'!B83</f>
        <v>795353 - Tabela 1</v>
      </c>
      <c r="BH104" s="209">
        <f>'Base tabelas'!C83</f>
        <v>1.9E-2</v>
      </c>
      <c r="BI104" s="209">
        <f>'Base tabelas'!D83</f>
        <v>72</v>
      </c>
      <c r="BJ104" s="209" t="str">
        <f>'Base tabelas'!E83</f>
        <v/>
      </c>
      <c r="BK104" s="209">
        <f>'Base tabelas'!F83</f>
        <v>2</v>
      </c>
      <c r="BL104" s="209">
        <f>'Base tabelas'!G83</f>
        <v>5</v>
      </c>
      <c r="BM104" s="209">
        <f>'Base tabelas'!H83</f>
        <v>49</v>
      </c>
      <c r="BN104" s="209" t="str">
        <f>'Base tabelas'!I83</f>
        <v>RFN-MARINHA DIG PORTAB PLUS 1</v>
      </c>
      <c r="BO104" s="209">
        <f>'Base tabelas'!J83</f>
        <v>1.3</v>
      </c>
      <c r="BP104" s="209">
        <f>'Base tabelas'!K83</f>
        <v>1.3000000000000001E-2</v>
      </c>
      <c r="BQ104" s="277">
        <f t="shared" si="122"/>
        <v>2.6691908414616727E-2</v>
      </c>
      <c r="BR104" s="278">
        <v>2.1600000000000001E-2</v>
      </c>
      <c r="BS104" s="279">
        <v>2.9999999999999997E-4</v>
      </c>
    </row>
    <row r="105" spans="3:71" hidden="1" x14ac:dyDescent="0.25">
      <c r="C105">
        <v>56</v>
      </c>
      <c r="D105" s="10">
        <f t="shared" ca="1" si="91"/>
        <v>46853</v>
      </c>
      <c r="E105" s="14">
        <f t="shared" ca="1" si="124"/>
        <v>19.919105811323959</v>
      </c>
      <c r="F105" s="14">
        <f t="shared" si="124"/>
        <v>0</v>
      </c>
      <c r="G105" s="14">
        <f t="shared" si="124"/>
        <v>0</v>
      </c>
      <c r="H105" s="14">
        <f t="shared" si="124"/>
        <v>0</v>
      </c>
      <c r="I105" s="14">
        <f t="shared" si="124"/>
        <v>0</v>
      </c>
      <c r="J105" s="14">
        <f t="shared" si="124"/>
        <v>0</v>
      </c>
      <c r="K105" s="14">
        <f t="shared" si="124"/>
        <v>0</v>
      </c>
      <c r="L105" s="14">
        <f t="shared" si="124"/>
        <v>0</v>
      </c>
      <c r="M105" s="14">
        <f t="shared" si="124"/>
        <v>0</v>
      </c>
      <c r="N105" s="14">
        <f t="shared" si="124"/>
        <v>0</v>
      </c>
      <c r="O105" s="224"/>
      <c r="Q105" s="161">
        <v>87</v>
      </c>
      <c r="R105" s="161">
        <f t="shared" si="111"/>
        <v>0</v>
      </c>
      <c r="S105" s="161">
        <f t="shared" si="112"/>
        <v>0</v>
      </c>
      <c r="T105" s="161">
        <f t="shared" si="113"/>
        <v>0</v>
      </c>
      <c r="U105" s="161">
        <f t="shared" si="114"/>
        <v>0</v>
      </c>
      <c r="V105" s="161">
        <f t="shared" si="115"/>
        <v>0</v>
      </c>
      <c r="W105" s="161">
        <f t="shared" si="116"/>
        <v>0</v>
      </c>
      <c r="X105" s="161">
        <f t="shared" si="117"/>
        <v>0</v>
      </c>
      <c r="Y105" s="161">
        <f t="shared" si="118"/>
        <v>0</v>
      </c>
      <c r="Z105" s="161">
        <f t="shared" si="119"/>
        <v>0</v>
      </c>
      <c r="AA105" s="161">
        <f t="shared" si="120"/>
        <v>0</v>
      </c>
      <c r="AB105" s="161"/>
      <c r="AC105" s="168">
        <v>87</v>
      </c>
      <c r="AD105" s="213">
        <f t="shared" ca="1" si="106"/>
        <v>47797</v>
      </c>
      <c r="AE105" s="260">
        <f t="shared" si="125"/>
        <v>0</v>
      </c>
      <c r="AF105" s="168"/>
      <c r="AG105" s="233">
        <v>87</v>
      </c>
      <c r="AH105" s="213">
        <f t="shared" ca="1" si="107"/>
        <v>47797</v>
      </c>
      <c r="AI105" s="260">
        <f t="shared" si="103"/>
        <v>0</v>
      </c>
      <c r="AJ105" s="215">
        <f t="shared" ca="1" si="104"/>
        <v>0</v>
      </c>
      <c r="AK105" s="168">
        <v>87</v>
      </c>
      <c r="AL105" s="213">
        <f t="shared" ca="1" si="108"/>
        <v>47797</v>
      </c>
      <c r="AM105" s="260">
        <f t="shared" si="105"/>
        <v>0</v>
      </c>
      <c r="AO105" s="161">
        <v>87</v>
      </c>
      <c r="AP105" s="117">
        <f t="shared" si="126"/>
        <v>0</v>
      </c>
      <c r="AQ105" s="117">
        <f t="shared" si="127"/>
        <v>0</v>
      </c>
      <c r="AR105" s="117">
        <f t="shared" si="128"/>
        <v>0</v>
      </c>
      <c r="AS105" s="161">
        <f t="shared" si="129"/>
        <v>0</v>
      </c>
      <c r="AT105" s="161">
        <f t="shared" si="130"/>
        <v>0</v>
      </c>
      <c r="AU105" s="161">
        <f t="shared" si="131"/>
        <v>0</v>
      </c>
      <c r="AV105" s="161">
        <f t="shared" si="132"/>
        <v>0</v>
      </c>
      <c r="AW105" s="161">
        <f t="shared" si="133"/>
        <v>0</v>
      </c>
      <c r="AX105" s="161">
        <f t="shared" si="134"/>
        <v>0</v>
      </c>
      <c r="AY105" s="161">
        <f t="shared" si="135"/>
        <v>0</v>
      </c>
      <c r="BD105" s="186" t="str">
        <f t="shared" si="109"/>
        <v>2MARINHA</v>
      </c>
      <c r="BE105" s="186">
        <f t="shared" si="110"/>
        <v>2</v>
      </c>
      <c r="BF105" s="209" t="str">
        <f>'Base tabelas'!A84</f>
        <v>MARINHA</v>
      </c>
      <c r="BG105" s="209" t="str">
        <f>'Base tabelas'!B84</f>
        <v>795352 - Tabela 2</v>
      </c>
      <c r="BH105" s="209">
        <f>'Base tabelas'!C84</f>
        <v>1.8500000000000003E-2</v>
      </c>
      <c r="BI105" s="209">
        <f>'Base tabelas'!D84</f>
        <v>72</v>
      </c>
      <c r="BJ105" s="209" t="str">
        <f>'Base tabelas'!E84</f>
        <v/>
      </c>
      <c r="BK105" s="209">
        <f>'Base tabelas'!F84</f>
        <v>2</v>
      </c>
      <c r="BL105" s="209">
        <f>'Base tabelas'!G84</f>
        <v>5</v>
      </c>
      <c r="BM105" s="209">
        <f>'Base tabelas'!H84</f>
        <v>49</v>
      </c>
      <c r="BN105" s="209" t="str">
        <f>'Base tabelas'!I84</f>
        <v>RFN-MARINHA DIG PORTAB PLUS 2</v>
      </c>
      <c r="BO105" s="209">
        <f>'Base tabelas'!J84</f>
        <v>1.3</v>
      </c>
      <c r="BP105" s="209">
        <f>'Base tabelas'!K84</f>
        <v>1.3000000000000001E-2</v>
      </c>
      <c r="BQ105" s="277">
        <f t="shared" si="122"/>
        <v>2.6310306310529694E-2</v>
      </c>
      <c r="BR105" s="278">
        <v>2.1600000000000001E-2</v>
      </c>
      <c r="BS105" s="279">
        <v>2.9999999999999997E-4</v>
      </c>
    </row>
    <row r="106" spans="3:71" hidden="1" x14ac:dyDescent="0.25">
      <c r="C106">
        <v>57</v>
      </c>
      <c r="D106" s="10">
        <f t="shared" ca="1" si="91"/>
        <v>46883</v>
      </c>
      <c r="E106" s="14">
        <f t="shared" ca="1" si="124"/>
        <v>19.551824782779445</v>
      </c>
      <c r="F106" s="14">
        <f t="shared" si="124"/>
        <v>0</v>
      </c>
      <c r="G106" s="14">
        <f t="shared" si="124"/>
        <v>0</v>
      </c>
      <c r="H106" s="14">
        <f t="shared" si="124"/>
        <v>0</v>
      </c>
      <c r="I106" s="14">
        <f t="shared" si="124"/>
        <v>0</v>
      </c>
      <c r="J106" s="14">
        <f t="shared" si="124"/>
        <v>0</v>
      </c>
      <c r="K106" s="14">
        <f t="shared" si="124"/>
        <v>0</v>
      </c>
      <c r="L106" s="14">
        <f t="shared" si="124"/>
        <v>0</v>
      </c>
      <c r="M106" s="14">
        <f t="shared" si="124"/>
        <v>0</v>
      </c>
      <c r="N106" s="14">
        <f t="shared" si="124"/>
        <v>0</v>
      </c>
      <c r="O106" s="224"/>
      <c r="Q106" s="161">
        <v>88</v>
      </c>
      <c r="R106" s="161">
        <f t="shared" si="111"/>
        <v>0</v>
      </c>
      <c r="S106" s="161">
        <f t="shared" si="112"/>
        <v>0</v>
      </c>
      <c r="T106" s="161">
        <f t="shared" si="113"/>
        <v>0</v>
      </c>
      <c r="U106" s="161">
        <f t="shared" si="114"/>
        <v>0</v>
      </c>
      <c r="V106" s="161">
        <f t="shared" si="115"/>
        <v>0</v>
      </c>
      <c r="W106" s="161">
        <f t="shared" si="116"/>
        <v>0</v>
      </c>
      <c r="X106" s="161">
        <f t="shared" si="117"/>
        <v>0</v>
      </c>
      <c r="Y106" s="161">
        <f t="shared" si="118"/>
        <v>0</v>
      </c>
      <c r="Z106" s="161">
        <f t="shared" si="119"/>
        <v>0</v>
      </c>
      <c r="AA106" s="161">
        <f t="shared" si="120"/>
        <v>0</v>
      </c>
      <c r="AC106" s="168">
        <v>88</v>
      </c>
      <c r="AD106" s="213">
        <f t="shared" ca="1" si="106"/>
        <v>47827</v>
      </c>
      <c r="AE106" s="260">
        <f t="shared" si="125"/>
        <v>0</v>
      </c>
      <c r="AG106" s="233">
        <v>88</v>
      </c>
      <c r="AH106" s="213">
        <f t="shared" ca="1" si="107"/>
        <v>47827</v>
      </c>
      <c r="AI106" s="260">
        <f t="shared" si="103"/>
        <v>0</v>
      </c>
      <c r="AJ106" s="215">
        <f t="shared" ca="1" si="104"/>
        <v>0</v>
      </c>
      <c r="AK106" s="168">
        <v>88</v>
      </c>
      <c r="AL106" s="213">
        <f t="shared" ca="1" si="108"/>
        <v>47827</v>
      </c>
      <c r="AM106" s="260">
        <f t="shared" si="105"/>
        <v>0</v>
      </c>
      <c r="AO106" s="161">
        <v>88</v>
      </c>
      <c r="AP106" s="117">
        <f t="shared" si="126"/>
        <v>0</v>
      </c>
      <c r="AQ106" s="117">
        <f t="shared" si="127"/>
        <v>0</v>
      </c>
      <c r="AR106" s="117">
        <f t="shared" si="128"/>
        <v>0</v>
      </c>
      <c r="AS106" s="161">
        <f t="shared" si="129"/>
        <v>0</v>
      </c>
      <c r="AT106" s="161">
        <f t="shared" si="130"/>
        <v>0</v>
      </c>
      <c r="AU106" s="161">
        <f t="shared" si="131"/>
        <v>0</v>
      </c>
      <c r="AV106" s="161">
        <f t="shared" si="132"/>
        <v>0</v>
      </c>
      <c r="AW106" s="161">
        <f t="shared" si="133"/>
        <v>0</v>
      </c>
      <c r="AX106" s="161">
        <f t="shared" si="134"/>
        <v>0</v>
      </c>
      <c r="AY106" s="161">
        <f t="shared" si="135"/>
        <v>0</v>
      </c>
      <c r="BD106" s="186" t="str">
        <f t="shared" si="109"/>
        <v>3MARINHA</v>
      </c>
      <c r="BE106" s="186">
        <f t="shared" si="110"/>
        <v>3</v>
      </c>
      <c r="BF106" s="209" t="str">
        <f>'Base tabelas'!A85</f>
        <v>MARINHA</v>
      </c>
      <c r="BG106" s="209" t="str">
        <f>'Base tabelas'!B85</f>
        <v>795355 - Tabela 3</v>
      </c>
      <c r="BH106" s="209">
        <f>'Base tabelas'!C85</f>
        <v>1.7500000000000002E-2</v>
      </c>
      <c r="BI106" s="209">
        <f>'Base tabelas'!D85</f>
        <v>72</v>
      </c>
      <c r="BJ106" s="209" t="str">
        <f>'Base tabelas'!E85</f>
        <v/>
      </c>
      <c r="BK106" s="209">
        <f>'Base tabelas'!F85</f>
        <v>2</v>
      </c>
      <c r="BL106" s="209">
        <f>'Base tabelas'!G85</f>
        <v>5</v>
      </c>
      <c r="BM106" s="209">
        <f>'Base tabelas'!H85</f>
        <v>49</v>
      </c>
      <c r="BN106" s="209" t="str">
        <f>'Base tabelas'!I85</f>
        <v>RFN-MARINHA DIG PORTAB PLUS 3</v>
      </c>
      <c r="BO106" s="209">
        <f>'Base tabelas'!J85</f>
        <v>1.3</v>
      </c>
      <c r="BP106" s="209">
        <f>'Base tabelas'!K85</f>
        <v>1.3000000000000001E-2</v>
      </c>
      <c r="BQ106" s="277">
        <f t="shared" si="122"/>
        <v>2.5555500829245414E-2</v>
      </c>
      <c r="BR106" s="278">
        <v>2.1600000000000001E-2</v>
      </c>
      <c r="BS106" s="279">
        <v>2.9999999999999997E-4</v>
      </c>
    </row>
    <row r="107" spans="3:71" hidden="1" x14ac:dyDescent="0.25">
      <c r="C107">
        <v>58</v>
      </c>
      <c r="D107" s="10">
        <f t="shared" ca="1" si="91"/>
        <v>46914</v>
      </c>
      <c r="E107" s="14">
        <f t="shared" ca="1" si="124"/>
        <v>19.1794141185397</v>
      </c>
      <c r="F107" s="14">
        <f t="shared" si="124"/>
        <v>0</v>
      </c>
      <c r="G107" s="14">
        <f t="shared" si="124"/>
        <v>0</v>
      </c>
      <c r="H107" s="14">
        <f t="shared" si="124"/>
        <v>0</v>
      </c>
      <c r="I107" s="14">
        <f t="shared" si="124"/>
        <v>0</v>
      </c>
      <c r="J107" s="14">
        <f t="shared" si="124"/>
        <v>0</v>
      </c>
      <c r="K107" s="14">
        <f t="shared" si="124"/>
        <v>0</v>
      </c>
      <c r="L107" s="14">
        <f t="shared" si="124"/>
        <v>0</v>
      </c>
      <c r="M107" s="14">
        <f t="shared" si="124"/>
        <v>0</v>
      </c>
      <c r="N107" s="14">
        <f t="shared" si="124"/>
        <v>0</v>
      </c>
      <c r="O107" s="224"/>
      <c r="Q107" s="161">
        <v>89</v>
      </c>
      <c r="R107" s="161">
        <f t="shared" si="111"/>
        <v>0</v>
      </c>
      <c r="S107" s="161">
        <f t="shared" si="112"/>
        <v>0</v>
      </c>
      <c r="T107" s="161">
        <f t="shared" si="113"/>
        <v>0</v>
      </c>
      <c r="U107" s="161">
        <f t="shared" si="114"/>
        <v>0</v>
      </c>
      <c r="V107" s="161">
        <f t="shared" si="115"/>
        <v>0</v>
      </c>
      <c r="W107" s="161">
        <f t="shared" si="116"/>
        <v>0</v>
      </c>
      <c r="X107" s="161">
        <f t="shared" si="117"/>
        <v>0</v>
      </c>
      <c r="Y107" s="161">
        <f t="shared" si="118"/>
        <v>0</v>
      </c>
      <c r="Z107" s="161">
        <f t="shared" si="119"/>
        <v>0</v>
      </c>
      <c r="AA107" s="161">
        <f t="shared" si="120"/>
        <v>0</v>
      </c>
      <c r="AC107" s="168">
        <v>89</v>
      </c>
      <c r="AD107" s="213">
        <f t="shared" ca="1" si="106"/>
        <v>47858</v>
      </c>
      <c r="AE107" s="260">
        <f t="shared" si="125"/>
        <v>0</v>
      </c>
      <c r="AF107" s="285"/>
      <c r="AG107" s="233">
        <v>89</v>
      </c>
      <c r="AH107" s="213">
        <f t="shared" ca="1" si="107"/>
        <v>47858</v>
      </c>
      <c r="AI107" s="260">
        <f t="shared" si="103"/>
        <v>0</v>
      </c>
      <c r="AJ107" s="215">
        <f t="shared" ca="1" si="104"/>
        <v>0</v>
      </c>
      <c r="AK107" s="168">
        <v>89</v>
      </c>
      <c r="AL107" s="213">
        <f t="shared" ca="1" si="108"/>
        <v>47858</v>
      </c>
      <c r="AM107" s="260">
        <f t="shared" si="105"/>
        <v>0</v>
      </c>
      <c r="AO107" s="161">
        <v>89</v>
      </c>
      <c r="AP107" s="117">
        <f t="shared" si="126"/>
        <v>0</v>
      </c>
      <c r="AQ107" s="117">
        <f t="shared" si="127"/>
        <v>0</v>
      </c>
      <c r="AR107" s="117">
        <f t="shared" si="128"/>
        <v>0</v>
      </c>
      <c r="AS107" s="161">
        <f t="shared" si="129"/>
        <v>0</v>
      </c>
      <c r="AT107" s="161">
        <f t="shared" si="130"/>
        <v>0</v>
      </c>
      <c r="AU107" s="161">
        <f t="shared" si="131"/>
        <v>0</v>
      </c>
      <c r="AV107" s="161">
        <f t="shared" si="132"/>
        <v>0</v>
      </c>
      <c r="AW107" s="161">
        <f t="shared" si="133"/>
        <v>0</v>
      </c>
      <c r="AX107" s="161">
        <f t="shared" si="134"/>
        <v>0</v>
      </c>
      <c r="AY107" s="161">
        <f t="shared" si="135"/>
        <v>0</v>
      </c>
      <c r="BD107" s="186" t="str">
        <f t="shared" si="109"/>
        <v>4MARINHA</v>
      </c>
      <c r="BE107" s="186">
        <f t="shared" si="110"/>
        <v>4</v>
      </c>
      <c r="BF107" s="209" t="str">
        <f>'Base tabelas'!A86</f>
        <v>MARINHA</v>
      </c>
      <c r="BG107" s="209" t="str">
        <f>'Base tabelas'!B86</f>
        <v>795357 - Tabela 4</v>
      </c>
      <c r="BH107" s="209">
        <f>'Base tabelas'!C86</f>
        <v>1.61E-2</v>
      </c>
      <c r="BI107" s="209">
        <f>'Base tabelas'!D86</f>
        <v>72</v>
      </c>
      <c r="BJ107" s="209" t="str">
        <f>'Base tabelas'!E86</f>
        <v/>
      </c>
      <c r="BK107" s="209">
        <f>'Base tabelas'!F86</f>
        <v>2</v>
      </c>
      <c r="BL107" s="209">
        <f>'Base tabelas'!G86</f>
        <v>5</v>
      </c>
      <c r="BM107" s="209">
        <f>'Base tabelas'!H86</f>
        <v>49</v>
      </c>
      <c r="BN107" s="209" t="str">
        <f>'Base tabelas'!I86</f>
        <v>RFN-MARINHA DIG PORTAB PLUS 4</v>
      </c>
      <c r="BO107" s="209">
        <f>'Base tabelas'!J86</f>
        <v>1.3</v>
      </c>
      <c r="BP107" s="209">
        <f>'Base tabelas'!K86</f>
        <v>1.3000000000000001E-2</v>
      </c>
      <c r="BQ107" s="277">
        <f t="shared" si="122"/>
        <v>2.4517874204997007E-2</v>
      </c>
      <c r="BR107" s="278">
        <v>2.1600000000000001E-2</v>
      </c>
      <c r="BS107" s="279">
        <v>2.9999999999999997E-4</v>
      </c>
    </row>
    <row r="108" spans="3:71" hidden="1" x14ac:dyDescent="0.25">
      <c r="C108">
        <v>59</v>
      </c>
      <c r="D108" s="10">
        <f t="shared" ca="1" si="91"/>
        <v>46944</v>
      </c>
      <c r="E108" s="14">
        <f t="shared" ca="1" si="124"/>
        <v>18.825771991676067</v>
      </c>
      <c r="F108" s="14">
        <f t="shared" si="124"/>
        <v>0</v>
      </c>
      <c r="G108" s="14">
        <f t="shared" si="124"/>
        <v>0</v>
      </c>
      <c r="H108" s="14">
        <f t="shared" si="124"/>
        <v>0</v>
      </c>
      <c r="I108" s="14">
        <f t="shared" si="124"/>
        <v>0</v>
      </c>
      <c r="J108" s="14">
        <f t="shared" si="124"/>
        <v>0</v>
      </c>
      <c r="K108" s="14">
        <f t="shared" si="124"/>
        <v>0</v>
      </c>
      <c r="L108" s="14">
        <f t="shared" si="124"/>
        <v>0</v>
      </c>
      <c r="M108" s="14">
        <f t="shared" si="124"/>
        <v>0</v>
      </c>
      <c r="N108" s="14">
        <f t="shared" si="124"/>
        <v>0</v>
      </c>
      <c r="O108" s="224"/>
      <c r="Q108" s="161">
        <v>90</v>
      </c>
      <c r="R108" s="161">
        <f t="shared" si="111"/>
        <v>0</v>
      </c>
      <c r="S108" s="161">
        <f t="shared" si="112"/>
        <v>0</v>
      </c>
      <c r="T108" s="161">
        <f t="shared" si="113"/>
        <v>0</v>
      </c>
      <c r="U108" s="161">
        <f t="shared" si="114"/>
        <v>0</v>
      </c>
      <c r="V108" s="161">
        <f t="shared" si="115"/>
        <v>0</v>
      </c>
      <c r="W108" s="161">
        <f t="shared" si="116"/>
        <v>0</v>
      </c>
      <c r="X108" s="161">
        <f t="shared" si="117"/>
        <v>0</v>
      </c>
      <c r="Y108" s="161">
        <f t="shared" si="118"/>
        <v>0</v>
      </c>
      <c r="Z108" s="161">
        <f t="shared" si="119"/>
        <v>0</v>
      </c>
      <c r="AA108" s="161">
        <f t="shared" si="120"/>
        <v>0</v>
      </c>
      <c r="AC108" s="168">
        <v>90</v>
      </c>
      <c r="AD108" s="213">
        <f t="shared" ca="1" si="106"/>
        <v>47889</v>
      </c>
      <c r="AE108" s="260">
        <f t="shared" si="125"/>
        <v>0</v>
      </c>
      <c r="AF108" s="285"/>
      <c r="AG108" s="233">
        <v>90</v>
      </c>
      <c r="AH108" s="213">
        <f t="shared" ca="1" si="107"/>
        <v>47889</v>
      </c>
      <c r="AI108" s="260">
        <f t="shared" si="103"/>
        <v>0</v>
      </c>
      <c r="AJ108" s="215">
        <f t="shared" ca="1" si="104"/>
        <v>0</v>
      </c>
      <c r="AK108" s="168">
        <v>90</v>
      </c>
      <c r="AL108" s="213">
        <f t="shared" ca="1" si="108"/>
        <v>47889</v>
      </c>
      <c r="AM108" s="260">
        <f t="shared" si="105"/>
        <v>0</v>
      </c>
      <c r="AO108" s="161">
        <v>90</v>
      </c>
      <c r="AP108" s="117">
        <f t="shared" si="126"/>
        <v>0</v>
      </c>
      <c r="AQ108" s="117">
        <f t="shared" si="127"/>
        <v>0</v>
      </c>
      <c r="AR108" s="117">
        <f t="shared" si="128"/>
        <v>0</v>
      </c>
      <c r="AS108" s="161">
        <f t="shared" si="129"/>
        <v>0</v>
      </c>
      <c r="AT108" s="161">
        <f t="shared" si="130"/>
        <v>0</v>
      </c>
      <c r="AU108" s="161">
        <f t="shared" si="131"/>
        <v>0</v>
      </c>
      <c r="AV108" s="161">
        <f t="shared" si="132"/>
        <v>0</v>
      </c>
      <c r="AW108" s="161">
        <f t="shared" si="133"/>
        <v>0</v>
      </c>
      <c r="AX108" s="161">
        <f t="shared" si="134"/>
        <v>0</v>
      </c>
      <c r="AY108" s="161">
        <f t="shared" si="135"/>
        <v>0</v>
      </c>
      <c r="BD108" s="186" t="str">
        <f t="shared" si="109"/>
        <v>1PM FEIRA DE SAN</v>
      </c>
      <c r="BE108" s="186">
        <f t="shared" si="110"/>
        <v>1</v>
      </c>
      <c r="BF108" s="209" t="str">
        <f>'Base tabelas'!A87</f>
        <v>PM FEIRA DE SAN</v>
      </c>
      <c r="BG108" s="209" t="str">
        <f>'Base tabelas'!B87</f>
        <v>765051 - Tabela 1</v>
      </c>
      <c r="BH108" s="209">
        <f>'Base tabelas'!C87</f>
        <v>2.2499999999999999E-2</v>
      </c>
      <c r="BI108" s="209">
        <f>'Base tabelas'!D87</f>
        <v>120</v>
      </c>
      <c r="BJ108" s="209" t="str">
        <f>'Base tabelas'!E87</f>
        <v/>
      </c>
      <c r="BK108" s="209">
        <f>'Base tabelas'!F87</f>
        <v>2.25</v>
      </c>
      <c r="BL108" s="209">
        <f>'Base tabelas'!G87</f>
        <v>10</v>
      </c>
      <c r="BM108" s="209">
        <f>'Base tabelas'!H87</f>
        <v>46</v>
      </c>
      <c r="BN108" s="209" t="str">
        <f>'Base tabelas'!I87</f>
        <v xml:space="preserve">RFN-PREF. FEIRA DE SANTANA DIG 1 PORTAB </v>
      </c>
      <c r="BO108" s="209" t="str">
        <f>'Base tabelas'!J87</f>
        <v>1,91</v>
      </c>
      <c r="BP108" s="209">
        <f>'Base tabelas'!K87</f>
        <v>1.9099999999999999E-2</v>
      </c>
      <c r="BQ108" s="277">
        <f t="shared" si="122"/>
        <v>2.52005963318883E-2</v>
      </c>
      <c r="BR108" s="278">
        <f t="shared" si="123"/>
        <v>2.2499999999999999E-2</v>
      </c>
      <c r="BS108" s="279">
        <v>2.9999999999999997E-4</v>
      </c>
    </row>
    <row r="109" spans="3:71" hidden="1" x14ac:dyDescent="0.25">
      <c r="C109">
        <v>60</v>
      </c>
      <c r="D109" s="10">
        <f t="shared" ca="1" si="91"/>
        <v>46975</v>
      </c>
      <c r="E109" s="14">
        <f t="shared" ca="1" si="124"/>
        <v>18.467190717030995</v>
      </c>
      <c r="F109" s="14">
        <f t="shared" si="124"/>
        <v>0</v>
      </c>
      <c r="G109" s="14">
        <f t="shared" si="124"/>
        <v>0</v>
      </c>
      <c r="H109" s="14">
        <f t="shared" si="124"/>
        <v>0</v>
      </c>
      <c r="I109" s="14">
        <f t="shared" si="124"/>
        <v>0</v>
      </c>
      <c r="J109" s="14">
        <f t="shared" si="124"/>
        <v>0</v>
      </c>
      <c r="K109" s="14">
        <f t="shared" si="124"/>
        <v>0</v>
      </c>
      <c r="L109" s="14">
        <f t="shared" si="124"/>
        <v>0</v>
      </c>
      <c r="M109" s="14">
        <f t="shared" si="124"/>
        <v>0</v>
      </c>
      <c r="N109" s="14">
        <f t="shared" si="124"/>
        <v>0</v>
      </c>
      <c r="O109" s="224"/>
      <c r="Q109" s="161">
        <v>91</v>
      </c>
      <c r="R109" s="161">
        <f t="shared" si="111"/>
        <v>0</v>
      </c>
      <c r="S109" s="161">
        <f t="shared" si="112"/>
        <v>0</v>
      </c>
      <c r="T109" s="161">
        <f t="shared" si="113"/>
        <v>0</v>
      </c>
      <c r="U109" s="161">
        <f t="shared" si="114"/>
        <v>0</v>
      </c>
      <c r="V109" s="161">
        <f t="shared" si="115"/>
        <v>0</v>
      </c>
      <c r="W109" s="161">
        <f t="shared" si="116"/>
        <v>0</v>
      </c>
      <c r="X109" s="161">
        <f t="shared" si="117"/>
        <v>0</v>
      </c>
      <c r="Y109" s="161">
        <f t="shared" si="118"/>
        <v>0</v>
      </c>
      <c r="Z109" s="161">
        <f t="shared" si="119"/>
        <v>0</v>
      </c>
      <c r="AA109" s="161">
        <f t="shared" si="120"/>
        <v>0</v>
      </c>
      <c r="AC109" s="168">
        <v>91</v>
      </c>
      <c r="AD109" s="213">
        <f t="shared" ca="1" si="106"/>
        <v>47917</v>
      </c>
      <c r="AE109" s="260">
        <f t="shared" si="125"/>
        <v>0</v>
      </c>
      <c r="AF109" s="285"/>
      <c r="AG109" s="233">
        <v>91</v>
      </c>
      <c r="AH109" s="213">
        <f t="shared" ca="1" si="107"/>
        <v>47917</v>
      </c>
      <c r="AI109" s="260">
        <f t="shared" si="103"/>
        <v>0</v>
      </c>
      <c r="AJ109" s="215">
        <f t="shared" ca="1" si="104"/>
        <v>0</v>
      </c>
      <c r="AK109" s="168">
        <v>91</v>
      </c>
      <c r="AL109" s="213">
        <f t="shared" ca="1" si="108"/>
        <v>47917</v>
      </c>
      <c r="AM109" s="260">
        <f t="shared" si="105"/>
        <v>0</v>
      </c>
      <c r="AO109" s="161">
        <v>91</v>
      </c>
      <c r="AP109" s="117">
        <f t="shared" si="126"/>
        <v>0</v>
      </c>
      <c r="AQ109" s="117">
        <f t="shared" si="127"/>
        <v>0</v>
      </c>
      <c r="AR109" s="117">
        <f t="shared" si="128"/>
        <v>0</v>
      </c>
      <c r="AS109" s="161">
        <f t="shared" si="129"/>
        <v>0</v>
      </c>
      <c r="AT109" s="161">
        <f t="shared" si="130"/>
        <v>0</v>
      </c>
      <c r="AU109" s="161">
        <f t="shared" si="131"/>
        <v>0</v>
      </c>
      <c r="AV109" s="161">
        <f t="shared" si="132"/>
        <v>0</v>
      </c>
      <c r="AW109" s="161">
        <f t="shared" si="133"/>
        <v>0</v>
      </c>
      <c r="AX109" s="161">
        <f t="shared" si="134"/>
        <v>0</v>
      </c>
      <c r="AY109" s="161">
        <f t="shared" si="135"/>
        <v>0</v>
      </c>
      <c r="BD109" s="186" t="str">
        <f t="shared" si="109"/>
        <v>2PM FEIRA DE SAN</v>
      </c>
      <c r="BE109" s="186">
        <f t="shared" si="110"/>
        <v>2</v>
      </c>
      <c r="BF109" s="209" t="str">
        <f>'Base tabelas'!A88</f>
        <v>PM FEIRA DE SAN</v>
      </c>
      <c r="BG109" s="209" t="str">
        <f>'Base tabelas'!B88</f>
        <v>765052 - Tabela 2</v>
      </c>
      <c r="BH109" s="209">
        <f>'Base tabelas'!C88</f>
        <v>2.2000000000000002E-2</v>
      </c>
      <c r="BI109" s="209">
        <f>'Base tabelas'!D88</f>
        <v>120</v>
      </c>
      <c r="BJ109" s="209" t="str">
        <f>'Base tabelas'!E88</f>
        <v/>
      </c>
      <c r="BK109" s="209">
        <f>'Base tabelas'!F88</f>
        <v>2.25</v>
      </c>
      <c r="BL109" s="209">
        <f>'Base tabelas'!G88</f>
        <v>10</v>
      </c>
      <c r="BM109" s="209">
        <f>'Base tabelas'!H88</f>
        <v>56</v>
      </c>
      <c r="BN109" s="209" t="str">
        <f>'Base tabelas'!I88</f>
        <v xml:space="preserve">RFN-PREF. FEIRA DE SANTANA DIG 2 PORTAB </v>
      </c>
      <c r="BO109" s="209" t="str">
        <f>'Base tabelas'!J88</f>
        <v>1,91</v>
      </c>
      <c r="BP109" s="209">
        <f>'Base tabelas'!K88</f>
        <v>1.9099999999999999E-2</v>
      </c>
      <c r="BQ109" s="277">
        <f t="shared" si="122"/>
        <v>2.4925600200052064E-2</v>
      </c>
      <c r="BR109" s="278">
        <f t="shared" si="123"/>
        <v>2.2499999999999999E-2</v>
      </c>
      <c r="BS109" s="279">
        <v>2.9999999999999997E-4</v>
      </c>
    </row>
    <row r="110" spans="3:71" hidden="1" x14ac:dyDescent="0.25">
      <c r="C110">
        <v>61</v>
      </c>
      <c r="D110" s="10">
        <f t="shared" ca="1" si="91"/>
        <v>47006</v>
      </c>
      <c r="E110" s="14">
        <f t="shared" ref="E110:N119" ca="1" si="136">IF($C110&lt;=E$17,E$18/(($D$48+1)^(($D110-$D$49)/30)),0)</f>
        <v>18.115439469360808</v>
      </c>
      <c r="F110" s="14">
        <f t="shared" si="136"/>
        <v>0</v>
      </c>
      <c r="G110" s="14">
        <f t="shared" si="136"/>
        <v>0</v>
      </c>
      <c r="H110" s="14">
        <f t="shared" si="136"/>
        <v>0</v>
      </c>
      <c r="I110" s="14">
        <f t="shared" si="136"/>
        <v>0</v>
      </c>
      <c r="J110" s="14">
        <f t="shared" si="136"/>
        <v>0</v>
      </c>
      <c r="K110" s="14">
        <f t="shared" si="136"/>
        <v>0</v>
      </c>
      <c r="L110" s="14">
        <f t="shared" si="136"/>
        <v>0</v>
      </c>
      <c r="M110" s="14">
        <f t="shared" si="136"/>
        <v>0</v>
      </c>
      <c r="N110" s="14">
        <f t="shared" si="136"/>
        <v>0</v>
      </c>
      <c r="O110" s="224"/>
      <c r="Q110" s="161">
        <v>92</v>
      </c>
      <c r="R110" s="161">
        <f t="shared" si="111"/>
        <v>0</v>
      </c>
      <c r="S110" s="161">
        <f t="shared" si="112"/>
        <v>0</v>
      </c>
      <c r="T110" s="161">
        <f t="shared" si="113"/>
        <v>0</v>
      </c>
      <c r="U110" s="161">
        <f t="shared" si="114"/>
        <v>0</v>
      </c>
      <c r="V110" s="161">
        <f t="shared" si="115"/>
        <v>0</v>
      </c>
      <c r="W110" s="161">
        <f t="shared" si="116"/>
        <v>0</v>
      </c>
      <c r="X110" s="161">
        <f t="shared" si="117"/>
        <v>0</v>
      </c>
      <c r="Y110" s="161">
        <f t="shared" si="118"/>
        <v>0</v>
      </c>
      <c r="Z110" s="161">
        <f t="shared" si="119"/>
        <v>0</v>
      </c>
      <c r="AA110" s="161">
        <f t="shared" si="120"/>
        <v>0</v>
      </c>
      <c r="AC110" s="168">
        <v>92</v>
      </c>
      <c r="AD110" s="213">
        <f t="shared" ca="1" si="106"/>
        <v>47948</v>
      </c>
      <c r="AE110" s="260">
        <f t="shared" si="125"/>
        <v>0</v>
      </c>
      <c r="AG110" s="233">
        <v>92</v>
      </c>
      <c r="AH110" s="213">
        <f t="shared" ca="1" si="107"/>
        <v>47948</v>
      </c>
      <c r="AI110" s="260">
        <f t="shared" si="103"/>
        <v>0</v>
      </c>
      <c r="AJ110" s="215">
        <f t="shared" ca="1" si="104"/>
        <v>0</v>
      </c>
      <c r="AK110" s="168">
        <v>92</v>
      </c>
      <c r="AL110" s="213">
        <f t="shared" ca="1" si="108"/>
        <v>47948</v>
      </c>
      <c r="AM110" s="260">
        <f t="shared" si="105"/>
        <v>0</v>
      </c>
      <c r="AO110" s="161">
        <v>92</v>
      </c>
      <c r="AP110" s="117">
        <f t="shared" si="126"/>
        <v>0</v>
      </c>
      <c r="AQ110" s="117">
        <f t="shared" si="127"/>
        <v>0</v>
      </c>
      <c r="AR110" s="117">
        <f t="shared" si="128"/>
        <v>0</v>
      </c>
      <c r="AS110" s="161">
        <f t="shared" si="129"/>
        <v>0</v>
      </c>
      <c r="AT110" s="161">
        <f t="shared" si="130"/>
        <v>0</v>
      </c>
      <c r="AU110" s="161">
        <f t="shared" si="131"/>
        <v>0</v>
      </c>
      <c r="AV110" s="161">
        <f t="shared" si="132"/>
        <v>0</v>
      </c>
      <c r="AW110" s="161">
        <f t="shared" si="133"/>
        <v>0</v>
      </c>
      <c r="AX110" s="161">
        <f t="shared" si="134"/>
        <v>0</v>
      </c>
      <c r="AY110" s="161">
        <f t="shared" si="135"/>
        <v>0</v>
      </c>
      <c r="BD110" s="186" t="str">
        <f t="shared" si="109"/>
        <v>3PM FEIRA DE SAN</v>
      </c>
      <c r="BE110" s="186">
        <f t="shared" si="110"/>
        <v>3</v>
      </c>
      <c r="BF110" s="209" t="str">
        <f>'Base tabelas'!A89</f>
        <v>PM FEIRA DE SAN</v>
      </c>
      <c r="BG110" s="209" t="str">
        <f>'Base tabelas'!B89</f>
        <v>765053 - Tabela 3</v>
      </c>
      <c r="BH110" s="209">
        <f>'Base tabelas'!C89</f>
        <v>2.1600000000000001E-2</v>
      </c>
      <c r="BI110" s="209">
        <f>'Base tabelas'!D89</f>
        <v>120</v>
      </c>
      <c r="BJ110" s="209" t="str">
        <f>'Base tabelas'!E89</f>
        <v/>
      </c>
      <c r="BK110" s="209">
        <f>'Base tabelas'!F89</f>
        <v>2.25</v>
      </c>
      <c r="BL110" s="209">
        <f>'Base tabelas'!G89</f>
        <v>10</v>
      </c>
      <c r="BM110" s="209">
        <f>'Base tabelas'!H89</f>
        <v>46</v>
      </c>
      <c r="BN110" s="209" t="str">
        <f>'Base tabelas'!I89</f>
        <v xml:space="preserve">RFN-PREF. FEIRA DE SANTANA DIG 3 PORTAB </v>
      </c>
      <c r="BO110" s="209" t="str">
        <f>'Base tabelas'!J89</f>
        <v>1,91</v>
      </c>
      <c r="BP110" s="209">
        <f>'Base tabelas'!K89</f>
        <v>1.9099999999999999E-2</v>
      </c>
      <c r="BQ110" s="277">
        <f t="shared" si="122"/>
        <v>2.4383404135088223E-2</v>
      </c>
      <c r="BR110" s="278">
        <f t="shared" si="123"/>
        <v>2.2499999999999999E-2</v>
      </c>
      <c r="BS110" s="279">
        <v>2.9999999999999997E-4</v>
      </c>
    </row>
    <row r="111" spans="3:71" hidden="1" x14ac:dyDescent="0.25">
      <c r="C111">
        <v>62</v>
      </c>
      <c r="D111" s="10">
        <f t="shared" ca="1" si="91"/>
        <v>47036</v>
      </c>
      <c r="E111" s="14">
        <f t="shared" ca="1" si="136"/>
        <v>17.781415577733092</v>
      </c>
      <c r="F111" s="14">
        <f t="shared" si="136"/>
        <v>0</v>
      </c>
      <c r="G111" s="14">
        <f t="shared" si="136"/>
        <v>0</v>
      </c>
      <c r="H111" s="14">
        <f t="shared" si="136"/>
        <v>0</v>
      </c>
      <c r="I111" s="14">
        <f t="shared" si="136"/>
        <v>0</v>
      </c>
      <c r="J111" s="14">
        <f t="shared" si="136"/>
        <v>0</v>
      </c>
      <c r="K111" s="14">
        <f t="shared" si="136"/>
        <v>0</v>
      </c>
      <c r="L111" s="14">
        <f t="shared" si="136"/>
        <v>0</v>
      </c>
      <c r="M111" s="14">
        <f t="shared" si="136"/>
        <v>0</v>
      </c>
      <c r="N111" s="14">
        <f t="shared" si="136"/>
        <v>0</v>
      </c>
      <c r="O111" s="224"/>
      <c r="Q111" s="161">
        <v>93</v>
      </c>
      <c r="R111" s="161">
        <f t="shared" si="111"/>
        <v>0</v>
      </c>
      <c r="S111" s="161">
        <f t="shared" si="112"/>
        <v>0</v>
      </c>
      <c r="T111" s="161">
        <f t="shared" si="113"/>
        <v>0</v>
      </c>
      <c r="U111" s="161">
        <f t="shared" si="114"/>
        <v>0</v>
      </c>
      <c r="V111" s="161">
        <f t="shared" si="115"/>
        <v>0</v>
      </c>
      <c r="W111" s="161">
        <f t="shared" si="116"/>
        <v>0</v>
      </c>
      <c r="X111" s="161">
        <f t="shared" si="117"/>
        <v>0</v>
      </c>
      <c r="Y111" s="161">
        <f t="shared" si="118"/>
        <v>0</v>
      </c>
      <c r="Z111" s="161">
        <f t="shared" si="119"/>
        <v>0</v>
      </c>
      <c r="AA111" s="161">
        <f t="shared" si="120"/>
        <v>0</v>
      </c>
      <c r="AC111" s="168">
        <v>93</v>
      </c>
      <c r="AD111" s="213">
        <f t="shared" ca="1" si="106"/>
        <v>47978</v>
      </c>
      <c r="AE111" s="260">
        <f t="shared" si="125"/>
        <v>0</v>
      </c>
      <c r="AG111" s="233">
        <v>93</v>
      </c>
      <c r="AH111" s="213">
        <f t="shared" ca="1" si="107"/>
        <v>47978</v>
      </c>
      <c r="AI111" s="260">
        <f t="shared" si="103"/>
        <v>0</v>
      </c>
      <c r="AJ111" s="215">
        <f t="shared" ca="1" si="104"/>
        <v>0</v>
      </c>
      <c r="AK111" s="168">
        <v>93</v>
      </c>
      <c r="AL111" s="213">
        <f t="shared" ca="1" si="108"/>
        <v>47978</v>
      </c>
      <c r="AM111" s="260">
        <f t="shared" si="105"/>
        <v>0</v>
      </c>
      <c r="AO111" s="161">
        <v>93</v>
      </c>
      <c r="AP111" s="117">
        <f t="shared" si="126"/>
        <v>0</v>
      </c>
      <c r="AQ111" s="117">
        <f t="shared" si="127"/>
        <v>0</v>
      </c>
      <c r="AR111" s="117">
        <f t="shared" si="128"/>
        <v>0</v>
      </c>
      <c r="AS111" s="161">
        <f t="shared" si="129"/>
        <v>0</v>
      </c>
      <c r="AT111" s="161">
        <f t="shared" si="130"/>
        <v>0</v>
      </c>
      <c r="AU111" s="161">
        <f t="shared" si="131"/>
        <v>0</v>
      </c>
      <c r="AV111" s="161">
        <f t="shared" si="132"/>
        <v>0</v>
      </c>
      <c r="AW111" s="161">
        <f t="shared" si="133"/>
        <v>0</v>
      </c>
      <c r="AX111" s="161">
        <f t="shared" si="134"/>
        <v>0</v>
      </c>
      <c r="AY111" s="161">
        <f t="shared" si="135"/>
        <v>0</v>
      </c>
      <c r="BD111" s="186" t="str">
        <f t="shared" si="109"/>
        <v>1PM MG</v>
      </c>
      <c r="BE111" s="186">
        <f t="shared" si="110"/>
        <v>1</v>
      </c>
      <c r="BF111" s="209" t="str">
        <f>'Base tabelas'!A90</f>
        <v>PM MG</v>
      </c>
      <c r="BG111" s="209" t="str">
        <f>'Base tabelas'!B90</f>
        <v>765621 - Tabela 1</v>
      </c>
      <c r="BH111" s="209">
        <f>'Base tabelas'!C90</f>
        <v>2.1499999999999998E-2</v>
      </c>
      <c r="BI111" s="209">
        <f>'Base tabelas'!D90</f>
        <v>120</v>
      </c>
      <c r="BJ111" s="209" t="str">
        <f>'Base tabelas'!E90</f>
        <v/>
      </c>
      <c r="BK111" s="209">
        <f>'Base tabelas'!F90</f>
        <v>2.4</v>
      </c>
      <c r="BL111" s="209">
        <f>'Base tabelas'!G90</f>
        <v>7</v>
      </c>
      <c r="BM111" s="209">
        <f>'Base tabelas'!H90</f>
        <v>51</v>
      </c>
      <c r="BN111" s="209" t="str">
        <f>'Base tabelas'!I90</f>
        <v>RFN - POLICIA 1 DIG PORTABILIDADE</v>
      </c>
      <c r="BO111" s="209" t="str">
        <f>'Base tabelas'!J90</f>
        <v>1,64</v>
      </c>
      <c r="BP111" s="209">
        <f>'Base tabelas'!K90</f>
        <v>1.6399999999999998E-2</v>
      </c>
      <c r="BQ111" s="277">
        <f t="shared" si="122"/>
        <v>2.4379466859599245E-2</v>
      </c>
      <c r="BR111" s="278">
        <f t="shared" si="123"/>
        <v>2.4E-2</v>
      </c>
      <c r="BS111" s="279">
        <v>2.9999999999999997E-4</v>
      </c>
    </row>
    <row r="112" spans="3:71" hidden="1" x14ac:dyDescent="0.25">
      <c r="C112">
        <v>63</v>
      </c>
      <c r="D112" s="10">
        <f t="shared" ca="1" si="91"/>
        <v>47067</v>
      </c>
      <c r="E112" s="14">
        <f t="shared" ca="1" si="136"/>
        <v>17.442726536684663</v>
      </c>
      <c r="F112" s="14">
        <f t="shared" si="136"/>
        <v>0</v>
      </c>
      <c r="G112" s="14">
        <f t="shared" si="136"/>
        <v>0</v>
      </c>
      <c r="H112" s="14">
        <f t="shared" si="136"/>
        <v>0</v>
      </c>
      <c r="I112" s="14">
        <f t="shared" si="136"/>
        <v>0</v>
      </c>
      <c r="J112" s="14">
        <f t="shared" si="136"/>
        <v>0</v>
      </c>
      <c r="K112" s="14">
        <f t="shared" si="136"/>
        <v>0</v>
      </c>
      <c r="L112" s="14">
        <f t="shared" si="136"/>
        <v>0</v>
      </c>
      <c r="M112" s="14">
        <f t="shared" si="136"/>
        <v>0</v>
      </c>
      <c r="N112" s="14">
        <f t="shared" si="136"/>
        <v>0</v>
      </c>
      <c r="O112" s="224"/>
      <c r="Q112" s="161">
        <v>94</v>
      </c>
      <c r="R112" s="161">
        <f t="shared" si="111"/>
        <v>0</v>
      </c>
      <c r="S112" s="161">
        <f t="shared" si="112"/>
        <v>0</v>
      </c>
      <c r="T112" s="161">
        <f t="shared" si="113"/>
        <v>0</v>
      </c>
      <c r="U112" s="161">
        <f t="shared" si="114"/>
        <v>0</v>
      </c>
      <c r="V112" s="161">
        <f t="shared" si="115"/>
        <v>0</v>
      </c>
      <c r="W112" s="161">
        <f t="shared" si="116"/>
        <v>0</v>
      </c>
      <c r="X112" s="161">
        <f t="shared" si="117"/>
        <v>0</v>
      </c>
      <c r="Y112" s="161">
        <f t="shared" si="118"/>
        <v>0</v>
      </c>
      <c r="Z112" s="161">
        <f t="shared" si="119"/>
        <v>0</v>
      </c>
      <c r="AA112" s="161">
        <f t="shared" si="120"/>
        <v>0</v>
      </c>
      <c r="AC112" s="168">
        <v>94</v>
      </c>
      <c r="AD112" s="213">
        <f t="shared" ca="1" si="106"/>
        <v>48009</v>
      </c>
      <c r="AE112" s="260">
        <f t="shared" si="125"/>
        <v>0</v>
      </c>
      <c r="AG112" s="233">
        <v>94</v>
      </c>
      <c r="AH112" s="213">
        <f t="shared" ca="1" si="107"/>
        <v>48009</v>
      </c>
      <c r="AI112" s="260">
        <f t="shared" si="103"/>
        <v>0</v>
      </c>
      <c r="AJ112" s="215">
        <f t="shared" ca="1" si="104"/>
        <v>0</v>
      </c>
      <c r="AK112" s="168">
        <v>94</v>
      </c>
      <c r="AL112" s="213">
        <f t="shared" ca="1" si="108"/>
        <v>48009</v>
      </c>
      <c r="AM112" s="260">
        <f t="shared" si="105"/>
        <v>0</v>
      </c>
      <c r="AO112" s="161">
        <v>94</v>
      </c>
      <c r="AP112" s="117">
        <f t="shared" si="126"/>
        <v>0</v>
      </c>
      <c r="AQ112" s="117">
        <f t="shared" si="127"/>
        <v>0</v>
      </c>
      <c r="AR112" s="117">
        <f t="shared" si="128"/>
        <v>0</v>
      </c>
      <c r="AS112" s="161">
        <f t="shared" si="129"/>
        <v>0</v>
      </c>
      <c r="AT112" s="161">
        <f t="shared" si="130"/>
        <v>0</v>
      </c>
      <c r="AU112" s="161">
        <f t="shared" si="131"/>
        <v>0</v>
      </c>
      <c r="AV112" s="161">
        <f t="shared" si="132"/>
        <v>0</v>
      </c>
      <c r="AW112" s="161">
        <f t="shared" si="133"/>
        <v>0</v>
      </c>
      <c r="AX112" s="161">
        <f t="shared" si="134"/>
        <v>0</v>
      </c>
      <c r="AY112" s="161">
        <f t="shared" si="135"/>
        <v>0</v>
      </c>
      <c r="BD112" s="186" t="str">
        <f t="shared" si="109"/>
        <v>2PM MG</v>
      </c>
      <c r="BE112" s="186">
        <f t="shared" si="110"/>
        <v>2</v>
      </c>
      <c r="BF112" s="209" t="str">
        <f>'Base tabelas'!A91</f>
        <v>PM MG</v>
      </c>
      <c r="BG112" s="209" t="str">
        <f>'Base tabelas'!B91</f>
        <v>765622 - Tabela 2</v>
      </c>
      <c r="BH112" s="209">
        <f>'Base tabelas'!C91</f>
        <v>2.0499999999999997E-2</v>
      </c>
      <c r="BI112" s="209">
        <f>'Base tabelas'!D91</f>
        <v>120</v>
      </c>
      <c r="BJ112" s="209" t="str">
        <f>'Base tabelas'!E91</f>
        <v/>
      </c>
      <c r="BK112" s="209">
        <f>'Base tabelas'!F91</f>
        <v>2.4</v>
      </c>
      <c r="BL112" s="209">
        <f>'Base tabelas'!G91</f>
        <v>7</v>
      </c>
      <c r="BM112" s="209">
        <f>'Base tabelas'!H91</f>
        <v>49</v>
      </c>
      <c r="BN112" s="209" t="str">
        <f>'Base tabelas'!I91</f>
        <v>RFN - POLICIA 2 DIG PORTABILIDADE</v>
      </c>
      <c r="BO112" s="209" t="str">
        <f>'Base tabelas'!J91</f>
        <v>1,64</v>
      </c>
      <c r="BP112" s="209">
        <f>'Base tabelas'!K91</f>
        <v>1.6399999999999998E-2</v>
      </c>
      <c r="BQ112" s="277">
        <f t="shared" si="122"/>
        <v>2.3445138177855103E-2</v>
      </c>
      <c r="BR112" s="278">
        <f t="shared" si="123"/>
        <v>2.4E-2</v>
      </c>
      <c r="BS112" s="279">
        <v>2.9999999999999997E-4</v>
      </c>
    </row>
    <row r="113" spans="3:71" hidden="1" x14ac:dyDescent="0.25">
      <c r="C113">
        <v>64</v>
      </c>
      <c r="D113" s="10">
        <f t="shared" ca="1" si="91"/>
        <v>47097</v>
      </c>
      <c r="E113" s="14">
        <f t="shared" ca="1" si="136"/>
        <v>17.121106550140276</v>
      </c>
      <c r="F113" s="14">
        <f t="shared" si="136"/>
        <v>0</v>
      </c>
      <c r="G113" s="14">
        <f t="shared" si="136"/>
        <v>0</v>
      </c>
      <c r="H113" s="14">
        <f t="shared" si="136"/>
        <v>0</v>
      </c>
      <c r="I113" s="14">
        <f t="shared" si="136"/>
        <v>0</v>
      </c>
      <c r="J113" s="14">
        <f t="shared" si="136"/>
        <v>0</v>
      </c>
      <c r="K113" s="14">
        <f t="shared" si="136"/>
        <v>0</v>
      </c>
      <c r="L113" s="14">
        <f t="shared" si="136"/>
        <v>0</v>
      </c>
      <c r="M113" s="14">
        <f t="shared" si="136"/>
        <v>0</v>
      </c>
      <c r="N113" s="14">
        <f t="shared" si="136"/>
        <v>0</v>
      </c>
      <c r="O113" s="224"/>
      <c r="Q113" s="161">
        <v>95</v>
      </c>
      <c r="R113" s="161">
        <f t="shared" si="111"/>
        <v>0</v>
      </c>
      <c r="S113" s="161">
        <f t="shared" si="112"/>
        <v>0</v>
      </c>
      <c r="T113" s="161">
        <f t="shared" si="113"/>
        <v>0</v>
      </c>
      <c r="U113" s="161">
        <f t="shared" si="114"/>
        <v>0</v>
      </c>
      <c r="V113" s="161">
        <f t="shared" si="115"/>
        <v>0</v>
      </c>
      <c r="W113" s="161">
        <f t="shared" si="116"/>
        <v>0</v>
      </c>
      <c r="X113" s="161">
        <f t="shared" si="117"/>
        <v>0</v>
      </c>
      <c r="Y113" s="161">
        <f t="shared" si="118"/>
        <v>0</v>
      </c>
      <c r="Z113" s="161">
        <f t="shared" si="119"/>
        <v>0</v>
      </c>
      <c r="AA113" s="161">
        <f t="shared" si="120"/>
        <v>0</v>
      </c>
      <c r="AC113" s="168">
        <v>95</v>
      </c>
      <c r="AD113" s="213">
        <f t="shared" ca="1" si="106"/>
        <v>48039</v>
      </c>
      <c r="AE113" s="260">
        <f t="shared" si="125"/>
        <v>0</v>
      </c>
      <c r="AG113" s="233">
        <v>95</v>
      </c>
      <c r="AH113" s="213">
        <f t="shared" ca="1" si="107"/>
        <v>48039</v>
      </c>
      <c r="AI113" s="260">
        <f t="shared" si="103"/>
        <v>0</v>
      </c>
      <c r="AJ113" s="215">
        <f t="shared" ca="1" si="104"/>
        <v>0</v>
      </c>
      <c r="AK113" s="168">
        <v>95</v>
      </c>
      <c r="AL113" s="213">
        <f t="shared" ca="1" si="108"/>
        <v>48039</v>
      </c>
      <c r="AM113" s="260">
        <f t="shared" si="105"/>
        <v>0</v>
      </c>
      <c r="AO113" s="161">
        <v>95</v>
      </c>
      <c r="AP113" s="117">
        <f t="shared" si="126"/>
        <v>0</v>
      </c>
      <c r="AQ113" s="117">
        <f t="shared" si="127"/>
        <v>0</v>
      </c>
      <c r="AR113" s="117">
        <f t="shared" si="128"/>
        <v>0</v>
      </c>
      <c r="AS113" s="161">
        <f t="shared" si="129"/>
        <v>0</v>
      </c>
      <c r="AT113" s="161">
        <f t="shared" si="130"/>
        <v>0</v>
      </c>
      <c r="AU113" s="161">
        <f t="shared" si="131"/>
        <v>0</v>
      </c>
      <c r="AV113" s="161">
        <f t="shared" si="132"/>
        <v>0</v>
      </c>
      <c r="AW113" s="161">
        <f t="shared" si="133"/>
        <v>0</v>
      </c>
      <c r="AX113" s="161">
        <f t="shared" si="134"/>
        <v>0</v>
      </c>
      <c r="AY113" s="161">
        <f t="shared" si="135"/>
        <v>0</v>
      </c>
      <c r="BD113" s="186" t="str">
        <f t="shared" si="109"/>
        <v>3PM MG</v>
      </c>
      <c r="BE113" s="186">
        <f t="shared" si="110"/>
        <v>3</v>
      </c>
      <c r="BF113" s="209" t="str">
        <f>'Base tabelas'!A92</f>
        <v>PM MG</v>
      </c>
      <c r="BG113" s="209" t="str">
        <f>'Base tabelas'!B92</f>
        <v>765623 - Tabela 3</v>
      </c>
      <c r="BH113" s="209">
        <f>'Base tabelas'!C92</f>
        <v>1.9400000000000001E-2</v>
      </c>
      <c r="BI113" s="209">
        <f>'Base tabelas'!D92</f>
        <v>120</v>
      </c>
      <c r="BJ113" s="209" t="str">
        <f>'Base tabelas'!E92</f>
        <v/>
      </c>
      <c r="BK113" s="209">
        <f>'Base tabelas'!F92</f>
        <v>2.4</v>
      </c>
      <c r="BL113" s="209">
        <f>'Base tabelas'!G92</f>
        <v>7</v>
      </c>
      <c r="BM113" s="209">
        <f>'Base tabelas'!H92</f>
        <v>42</v>
      </c>
      <c r="BN113" s="209" t="str">
        <f>'Base tabelas'!I92</f>
        <v>RFN - POLICIA 3 DIG PORTABILIDADE</v>
      </c>
      <c r="BO113" s="209" t="str">
        <f>'Base tabelas'!J92</f>
        <v>1,64</v>
      </c>
      <c r="BP113" s="209">
        <f>'Base tabelas'!K92</f>
        <v>1.6399999999999998E-2</v>
      </c>
      <c r="BQ113" s="277">
        <f t="shared" si="122"/>
        <v>2.2369466123937257E-2</v>
      </c>
      <c r="BR113" s="278">
        <f t="shared" si="123"/>
        <v>2.4E-2</v>
      </c>
      <c r="BS113" s="279">
        <v>2.9999999999999997E-4</v>
      </c>
    </row>
    <row r="114" spans="3:71" hidden="1" x14ac:dyDescent="0.25">
      <c r="C114">
        <v>65</v>
      </c>
      <c r="D114" s="10">
        <f t="shared" ca="1" si="91"/>
        <v>47128</v>
      </c>
      <c r="E114" s="14">
        <f t="shared" ca="1" si="136"/>
        <v>16.794994653491482</v>
      </c>
      <c r="F114" s="14">
        <f t="shared" si="136"/>
        <v>0</v>
      </c>
      <c r="G114" s="14">
        <f t="shared" si="136"/>
        <v>0</v>
      </c>
      <c r="H114" s="14">
        <f t="shared" si="136"/>
        <v>0</v>
      </c>
      <c r="I114" s="14">
        <f t="shared" si="136"/>
        <v>0</v>
      </c>
      <c r="J114" s="14">
        <f t="shared" si="136"/>
        <v>0</v>
      </c>
      <c r="K114" s="14">
        <f t="shared" si="136"/>
        <v>0</v>
      </c>
      <c r="L114" s="14">
        <f t="shared" si="136"/>
        <v>0</v>
      </c>
      <c r="M114" s="14">
        <f t="shared" si="136"/>
        <v>0</v>
      </c>
      <c r="N114" s="14">
        <f t="shared" si="136"/>
        <v>0</v>
      </c>
      <c r="O114" s="224"/>
      <c r="Q114" s="161">
        <v>96</v>
      </c>
      <c r="R114" s="161">
        <f t="shared" si="111"/>
        <v>0</v>
      </c>
      <c r="S114" s="161">
        <f t="shared" si="112"/>
        <v>0</v>
      </c>
      <c r="T114" s="161">
        <f t="shared" si="113"/>
        <v>0</v>
      </c>
      <c r="U114" s="161">
        <f t="shared" si="114"/>
        <v>0</v>
      </c>
      <c r="V114" s="161">
        <f t="shared" si="115"/>
        <v>0</v>
      </c>
      <c r="W114" s="161">
        <f t="shared" si="116"/>
        <v>0</v>
      </c>
      <c r="X114" s="161">
        <f t="shared" si="117"/>
        <v>0</v>
      </c>
      <c r="Y114" s="161">
        <f t="shared" si="118"/>
        <v>0</v>
      </c>
      <c r="Z114" s="161">
        <f t="shared" si="119"/>
        <v>0</v>
      </c>
      <c r="AA114" s="161">
        <f t="shared" si="120"/>
        <v>0</v>
      </c>
      <c r="AC114" s="168">
        <v>96</v>
      </c>
      <c r="AD114" s="213">
        <f t="shared" ca="1" si="106"/>
        <v>48070</v>
      </c>
      <c r="AE114" s="260">
        <f t="shared" si="125"/>
        <v>0</v>
      </c>
      <c r="AG114" s="233">
        <v>96</v>
      </c>
      <c r="AH114" s="213">
        <f t="shared" ca="1" si="107"/>
        <v>48070</v>
      </c>
      <c r="AI114" s="260">
        <f t="shared" si="103"/>
        <v>0</v>
      </c>
      <c r="AJ114" s="215">
        <f t="shared" ca="1" si="104"/>
        <v>0</v>
      </c>
      <c r="AK114" s="168">
        <v>96</v>
      </c>
      <c r="AL114" s="213">
        <f t="shared" ca="1" si="108"/>
        <v>48070</v>
      </c>
      <c r="AM114" s="260">
        <f t="shared" si="105"/>
        <v>0</v>
      </c>
      <c r="AO114" s="161">
        <v>96</v>
      </c>
      <c r="AP114" s="117">
        <f t="shared" si="126"/>
        <v>0</v>
      </c>
      <c r="AQ114" s="117">
        <f t="shared" si="127"/>
        <v>0</v>
      </c>
      <c r="AR114" s="117">
        <f t="shared" si="128"/>
        <v>0</v>
      </c>
      <c r="AS114" s="161">
        <f t="shared" si="129"/>
        <v>0</v>
      </c>
      <c r="AT114" s="161">
        <f t="shared" si="130"/>
        <v>0</v>
      </c>
      <c r="AU114" s="161">
        <f t="shared" si="131"/>
        <v>0</v>
      </c>
      <c r="AV114" s="161">
        <f t="shared" si="132"/>
        <v>0</v>
      </c>
      <c r="AW114" s="161">
        <f t="shared" si="133"/>
        <v>0</v>
      </c>
      <c r="AX114" s="161">
        <f t="shared" si="134"/>
        <v>0</v>
      </c>
      <c r="AY114" s="161">
        <f t="shared" si="135"/>
        <v>0</v>
      </c>
      <c r="BD114" s="186" t="str">
        <f t="shared" si="109"/>
        <v>4PM MG</v>
      </c>
      <c r="BE114" s="186">
        <f t="shared" si="110"/>
        <v>4</v>
      </c>
      <c r="BF114" s="209" t="str">
        <f>'Base tabelas'!A93</f>
        <v>PM MG</v>
      </c>
      <c r="BG114" s="209" t="str">
        <f>'Base tabelas'!B93</f>
        <v>765624 - Tabela 4</v>
      </c>
      <c r="BH114" s="209">
        <f>'Base tabelas'!C93</f>
        <v>1.7899999999999999E-2</v>
      </c>
      <c r="BI114" s="209">
        <f>'Base tabelas'!D93</f>
        <v>120</v>
      </c>
      <c r="BJ114" s="209" t="str">
        <f>'Base tabelas'!E93</f>
        <v/>
      </c>
      <c r="BK114" s="209">
        <f>'Base tabelas'!F93</f>
        <v>2.4</v>
      </c>
      <c r="BL114" s="209">
        <f>'Base tabelas'!G93</f>
        <v>7</v>
      </c>
      <c r="BM114" s="209">
        <f>'Base tabelas'!H93</f>
        <v>51</v>
      </c>
      <c r="BN114" s="209" t="str">
        <f>'Base tabelas'!I93</f>
        <v>RFN - POLICIA 4 DIG PORTABILIDADE</v>
      </c>
      <c r="BO114" s="209" t="str">
        <f>'Base tabelas'!J93</f>
        <v>1,64</v>
      </c>
      <c r="BP114" s="209">
        <f>'Base tabelas'!K93</f>
        <v>1.6399999999999998E-2</v>
      </c>
      <c r="BQ114" s="277">
        <f t="shared" si="122"/>
        <v>2.1191314714692593E-2</v>
      </c>
      <c r="BR114" s="278">
        <f t="shared" si="123"/>
        <v>2.4E-2</v>
      </c>
      <c r="BS114" s="279">
        <v>2.9999999999999997E-4</v>
      </c>
    </row>
    <row r="115" spans="3:71" hidden="1" x14ac:dyDescent="0.25">
      <c r="C115">
        <v>66</v>
      </c>
      <c r="D115" s="10">
        <f t="shared" ref="D115:D146" ca="1" si="137">EDATE(D114,1)</f>
        <v>47159</v>
      </c>
      <c r="E115" s="14">
        <f t="shared" ca="1" si="136"/>
        <v>16.475094327854428</v>
      </c>
      <c r="F115" s="14">
        <f t="shared" si="136"/>
        <v>0</v>
      </c>
      <c r="G115" s="14">
        <f t="shared" si="136"/>
        <v>0</v>
      </c>
      <c r="H115" s="14">
        <f t="shared" si="136"/>
        <v>0</v>
      </c>
      <c r="I115" s="14">
        <f t="shared" si="136"/>
        <v>0</v>
      </c>
      <c r="J115" s="14">
        <f t="shared" si="136"/>
        <v>0</v>
      </c>
      <c r="K115" s="14">
        <f t="shared" si="136"/>
        <v>0</v>
      </c>
      <c r="L115" s="14">
        <f t="shared" si="136"/>
        <v>0</v>
      </c>
      <c r="M115" s="14">
        <f t="shared" si="136"/>
        <v>0</v>
      </c>
      <c r="N115" s="14">
        <f t="shared" si="136"/>
        <v>0</v>
      </c>
      <c r="O115" s="224"/>
      <c r="Q115" s="161">
        <v>97</v>
      </c>
      <c r="R115" s="161">
        <f t="shared" si="111"/>
        <v>0</v>
      </c>
      <c r="S115" s="161">
        <f t="shared" ref="S115:S162" si="138">IF($Q115&lt;=F$17,F$18,0)</f>
        <v>0</v>
      </c>
      <c r="T115" s="161">
        <f t="shared" ref="T115:T162" si="139">IF($Q115&lt;=G$17,G$18,0)</f>
        <v>0</v>
      </c>
      <c r="U115" s="161">
        <f t="shared" ref="U115:U162" si="140">IF($Q115&lt;=H$17,H$18,0)</f>
        <v>0</v>
      </c>
      <c r="V115" s="161">
        <f t="shared" ref="V115:V162" si="141">IF($Q115&lt;=I$17,I$18,0)</f>
        <v>0</v>
      </c>
      <c r="W115" s="161">
        <f t="shared" ref="W115:W162" si="142">IF($Q115&lt;=J$17,J$18,0)</f>
        <v>0</v>
      </c>
      <c r="X115" s="161">
        <f t="shared" ref="X115:X162" si="143">IF($Q115&lt;=K$17,K$18,0)</f>
        <v>0</v>
      </c>
      <c r="Y115" s="161">
        <f t="shared" ref="Y115:Y162" si="144">IF($Q115&lt;=L$17,L$18,0)</f>
        <v>0</v>
      </c>
      <c r="Z115" s="161">
        <f t="shared" ref="Z115:Z162" si="145">IF($Q115&lt;=M$17,M$18,0)</f>
        <v>0</v>
      </c>
      <c r="AA115" s="161">
        <f t="shared" ref="AA115:AA162" si="146">IF($Q115&lt;=N$17,N$18,0)</f>
        <v>0</v>
      </c>
      <c r="AC115" s="168">
        <v>97</v>
      </c>
      <c r="AD115" s="213">
        <f t="shared" ca="1" si="106"/>
        <v>48101</v>
      </c>
      <c r="AE115" s="260">
        <f t="shared" si="125"/>
        <v>0</v>
      </c>
      <c r="AG115" s="233">
        <v>97</v>
      </c>
      <c r="AH115" s="213">
        <f t="shared" ca="1" si="107"/>
        <v>48101</v>
      </c>
      <c r="AI115" s="260">
        <f t="shared" si="103"/>
        <v>0</v>
      </c>
      <c r="AJ115" s="215">
        <f t="shared" ca="1" si="104"/>
        <v>0</v>
      </c>
      <c r="AK115" s="168">
        <v>97</v>
      </c>
      <c r="AL115" s="213">
        <f t="shared" ca="1" si="108"/>
        <v>48101</v>
      </c>
      <c r="AM115" s="260">
        <f t="shared" si="105"/>
        <v>0</v>
      </c>
      <c r="AO115" s="161">
        <v>97</v>
      </c>
      <c r="AP115" s="117">
        <f t="shared" ref="AP115:AP162" si="147">IF($Q115&lt;=E$17,E$18,0)</f>
        <v>0</v>
      </c>
      <c r="AQ115" s="117">
        <f t="shared" ref="AQ115:AQ162" si="148">IF($Q115&lt;=F$17,F$18,0)</f>
        <v>0</v>
      </c>
      <c r="AR115" s="117">
        <f t="shared" ref="AR115:AR162" si="149">IF($Q115&lt;=G$17,G$18,0)</f>
        <v>0</v>
      </c>
      <c r="AS115" s="161">
        <f t="shared" ref="AS115:AS162" si="150">IF($Q115&lt;=H$17,H$18,0)</f>
        <v>0</v>
      </c>
      <c r="AT115" s="161">
        <f t="shared" ref="AT115:AT162" si="151">IF($Q115&lt;=I$17,I$18,0)</f>
        <v>0</v>
      </c>
      <c r="AU115" s="161">
        <f t="shared" ref="AU115:AU162" si="152">IF($Q115&lt;=J$17,J$18,0)</f>
        <v>0</v>
      </c>
      <c r="AV115" s="161">
        <f t="shared" ref="AV115:AV162" si="153">IF($Q115&lt;=K$17,K$18,0)</f>
        <v>0</v>
      </c>
      <c r="AW115" s="161">
        <f t="shared" ref="AW115:AW162" si="154">IF($Q115&lt;=L$17,L$18,0)</f>
        <v>0</v>
      </c>
      <c r="AX115" s="161">
        <f t="shared" ref="AX115:AX162" si="155">IF($Q115&lt;=M$17,M$18,0)</f>
        <v>0</v>
      </c>
      <c r="AY115" s="161">
        <f t="shared" ref="AY115:AY162" si="156">IF($Q115&lt;=N$17,N$18,0)</f>
        <v>0</v>
      </c>
      <c r="BD115" s="186" t="str">
        <f t="shared" si="109"/>
        <v>1PREF ARACAJU</v>
      </c>
      <c r="BE115" s="186">
        <f t="shared" si="110"/>
        <v>1</v>
      </c>
      <c r="BF115" s="209" t="str">
        <f>'Base tabelas'!A94</f>
        <v>PREF ARACAJU</v>
      </c>
      <c r="BG115" s="209" t="str">
        <f>'Base tabelas'!B94</f>
        <v>705328 - Tabela 5</v>
      </c>
      <c r="BH115" s="209">
        <f>'Base tabelas'!C94</f>
        <v>2.1899999999999999E-2</v>
      </c>
      <c r="BI115" s="209">
        <f>'Base tabelas'!D94</f>
        <v>120</v>
      </c>
      <c r="BJ115" s="209" t="str">
        <f>'Base tabelas'!E94</f>
        <v/>
      </c>
      <c r="BK115" s="209">
        <f>'Base tabelas'!F94</f>
        <v>2.5</v>
      </c>
      <c r="BL115" s="209">
        <f>'Base tabelas'!G94</f>
        <v>25</v>
      </c>
      <c r="BM115" s="209">
        <f>'Base tabelas'!H94</f>
        <v>59</v>
      </c>
      <c r="BN115" s="209" t="str">
        <f>'Base tabelas'!I94</f>
        <v>RFN - PREF ARACAJU PORTAB 5 DIG PLUS</v>
      </c>
      <c r="BO115" s="209" t="str">
        <f>'Base tabelas'!J94</f>
        <v>1,94</v>
      </c>
      <c r="BP115" s="209">
        <f>'Base tabelas'!K94</f>
        <v>1.9400000000000001E-2</v>
      </c>
      <c r="BQ115" s="277">
        <f t="shared" si="122"/>
        <v>2.4887300938004023E-2</v>
      </c>
      <c r="BR115" s="278">
        <f t="shared" si="123"/>
        <v>2.5000000000000001E-2</v>
      </c>
      <c r="BS115" s="279">
        <v>2.9999999999999997E-4</v>
      </c>
    </row>
    <row r="116" spans="3:71" hidden="1" x14ac:dyDescent="0.25">
      <c r="C116">
        <v>67</v>
      </c>
      <c r="D116" s="10">
        <f t="shared" ca="1" si="137"/>
        <v>47187</v>
      </c>
      <c r="E116" s="14">
        <f t="shared" ca="1" si="136"/>
        <v>16.191392617490806</v>
      </c>
      <c r="F116" s="14">
        <f t="shared" si="136"/>
        <v>0</v>
      </c>
      <c r="G116" s="14">
        <f t="shared" si="136"/>
        <v>0</v>
      </c>
      <c r="H116" s="14">
        <f t="shared" si="136"/>
        <v>0</v>
      </c>
      <c r="I116" s="14">
        <f t="shared" si="136"/>
        <v>0</v>
      </c>
      <c r="J116" s="14">
        <f t="shared" si="136"/>
        <v>0</v>
      </c>
      <c r="K116" s="14">
        <f t="shared" si="136"/>
        <v>0</v>
      </c>
      <c r="L116" s="14">
        <f t="shared" si="136"/>
        <v>0</v>
      </c>
      <c r="M116" s="14">
        <f t="shared" si="136"/>
        <v>0</v>
      </c>
      <c r="N116" s="14">
        <f t="shared" si="136"/>
        <v>0</v>
      </c>
      <c r="O116" s="224"/>
      <c r="Q116" s="161">
        <v>98</v>
      </c>
      <c r="R116" s="161">
        <f t="shared" si="111"/>
        <v>0</v>
      </c>
      <c r="S116" s="161">
        <f t="shared" si="138"/>
        <v>0</v>
      </c>
      <c r="T116" s="161">
        <f t="shared" si="139"/>
        <v>0</v>
      </c>
      <c r="U116" s="161">
        <f t="shared" si="140"/>
        <v>0</v>
      </c>
      <c r="V116" s="161">
        <f t="shared" si="141"/>
        <v>0</v>
      </c>
      <c r="W116" s="161">
        <f t="shared" si="142"/>
        <v>0</v>
      </c>
      <c r="X116" s="161">
        <f t="shared" si="143"/>
        <v>0</v>
      </c>
      <c r="Y116" s="161">
        <f t="shared" si="144"/>
        <v>0</v>
      </c>
      <c r="Z116" s="161">
        <f t="shared" si="145"/>
        <v>0</v>
      </c>
      <c r="AA116" s="161">
        <f t="shared" si="146"/>
        <v>0</v>
      </c>
      <c r="AC116" s="168">
        <v>98</v>
      </c>
      <c r="AD116" s="213">
        <f t="shared" ca="1" si="106"/>
        <v>48131</v>
      </c>
      <c r="AE116" s="260">
        <f t="shared" si="125"/>
        <v>0</v>
      </c>
      <c r="AG116" s="233">
        <v>98</v>
      </c>
      <c r="AH116" s="213">
        <f t="shared" ca="1" si="107"/>
        <v>48131</v>
      </c>
      <c r="AI116" s="260">
        <f t="shared" si="103"/>
        <v>0</v>
      </c>
      <c r="AJ116" s="215">
        <f t="shared" ca="1" si="104"/>
        <v>0</v>
      </c>
      <c r="AK116" s="168">
        <v>98</v>
      </c>
      <c r="AL116" s="213">
        <f t="shared" ca="1" si="108"/>
        <v>48131</v>
      </c>
      <c r="AM116" s="260">
        <f t="shared" si="105"/>
        <v>0</v>
      </c>
      <c r="AO116" s="161">
        <v>98</v>
      </c>
      <c r="AP116" s="117">
        <f t="shared" si="147"/>
        <v>0</v>
      </c>
      <c r="AQ116" s="117">
        <f t="shared" si="148"/>
        <v>0</v>
      </c>
      <c r="AR116" s="117">
        <f t="shared" si="149"/>
        <v>0</v>
      </c>
      <c r="AS116" s="161">
        <f t="shared" si="150"/>
        <v>0</v>
      </c>
      <c r="AT116" s="161">
        <f t="shared" si="151"/>
        <v>0</v>
      </c>
      <c r="AU116" s="161">
        <f t="shared" si="152"/>
        <v>0</v>
      </c>
      <c r="AV116" s="161">
        <f t="shared" si="153"/>
        <v>0</v>
      </c>
      <c r="AW116" s="161">
        <f t="shared" si="154"/>
        <v>0</v>
      </c>
      <c r="AX116" s="161">
        <f t="shared" si="155"/>
        <v>0</v>
      </c>
      <c r="AY116" s="161">
        <f t="shared" si="156"/>
        <v>0</v>
      </c>
      <c r="BD116" s="186" t="str">
        <f t="shared" si="109"/>
        <v>1PREF BOA VISTA</v>
      </c>
      <c r="BE116" s="186">
        <f t="shared" si="110"/>
        <v>1</v>
      </c>
      <c r="BF116" s="209" t="str">
        <f>'Base tabelas'!A95</f>
        <v>PREF BOA VISTA</v>
      </c>
      <c r="BG116" s="209" t="str">
        <f>'Base tabelas'!B95</f>
        <v>765101 - Tabela 1</v>
      </c>
      <c r="BH116" s="209">
        <f>'Base tabelas'!C95</f>
        <v>2.2499999999999999E-2</v>
      </c>
      <c r="BI116" s="209">
        <f>'Base tabelas'!D95</f>
        <v>96</v>
      </c>
      <c r="BJ116" s="209" t="str">
        <f>'Base tabelas'!E95</f>
        <v/>
      </c>
      <c r="BK116" s="209">
        <f>'Base tabelas'!F95</f>
        <v>2.5</v>
      </c>
      <c r="BL116" s="209">
        <f>'Base tabelas'!G95</f>
        <v>15</v>
      </c>
      <c r="BM116" s="209">
        <f>'Base tabelas'!H95</f>
        <v>59</v>
      </c>
      <c r="BN116" s="209" t="str">
        <f>'Base tabelas'!I95</f>
        <v>RFN - PREF DE BOA VISTA PORTAB 1 DIG</v>
      </c>
      <c r="BO116" s="209" t="str">
        <f>'Base tabelas'!J95</f>
        <v>1,9</v>
      </c>
      <c r="BP116" s="209">
        <f>'Base tabelas'!K95</f>
        <v>1.9E-2</v>
      </c>
      <c r="BQ116" s="277">
        <f t="shared" si="122"/>
        <v>2.6854859396136726E-2</v>
      </c>
      <c r="BR116" s="278">
        <f t="shared" si="123"/>
        <v>2.5000000000000001E-2</v>
      </c>
      <c r="BS116" s="279">
        <v>2.9999999999999997E-4</v>
      </c>
    </row>
    <row r="117" spans="3:71" hidden="1" x14ac:dyDescent="0.25">
      <c r="C117">
        <v>68</v>
      </c>
      <c r="D117" s="10">
        <f t="shared" ca="1" si="137"/>
        <v>47218</v>
      </c>
      <c r="E117" s="14">
        <f t="shared" ca="1" si="136"/>
        <v>15.882989317715067</v>
      </c>
      <c r="F117" s="14">
        <f t="shared" si="136"/>
        <v>0</v>
      </c>
      <c r="G117" s="14">
        <f t="shared" si="136"/>
        <v>0</v>
      </c>
      <c r="H117" s="14">
        <f t="shared" si="136"/>
        <v>0</v>
      </c>
      <c r="I117" s="14">
        <f t="shared" si="136"/>
        <v>0</v>
      </c>
      <c r="J117" s="14">
        <f t="shared" si="136"/>
        <v>0</v>
      </c>
      <c r="K117" s="14">
        <f t="shared" si="136"/>
        <v>0</v>
      </c>
      <c r="L117" s="14">
        <f t="shared" si="136"/>
        <v>0</v>
      </c>
      <c r="M117" s="14">
        <f t="shared" si="136"/>
        <v>0</v>
      </c>
      <c r="N117" s="14">
        <f t="shared" si="136"/>
        <v>0</v>
      </c>
      <c r="O117" s="224"/>
      <c r="Q117" s="161">
        <v>99</v>
      </c>
      <c r="R117" s="161">
        <f t="shared" si="111"/>
        <v>0</v>
      </c>
      <c r="S117" s="161">
        <f t="shared" si="138"/>
        <v>0</v>
      </c>
      <c r="T117" s="161">
        <f t="shared" si="139"/>
        <v>0</v>
      </c>
      <c r="U117" s="161">
        <f t="shared" si="140"/>
        <v>0</v>
      </c>
      <c r="V117" s="161">
        <f t="shared" si="141"/>
        <v>0</v>
      </c>
      <c r="W117" s="161">
        <f t="shared" si="142"/>
        <v>0</v>
      </c>
      <c r="X117" s="161">
        <f t="shared" si="143"/>
        <v>0</v>
      </c>
      <c r="Y117" s="161">
        <f t="shared" si="144"/>
        <v>0</v>
      </c>
      <c r="Z117" s="161">
        <f t="shared" si="145"/>
        <v>0</v>
      </c>
      <c r="AA117" s="161">
        <f t="shared" si="146"/>
        <v>0</v>
      </c>
      <c r="AC117" s="168">
        <v>99</v>
      </c>
      <c r="AD117" s="213">
        <f t="shared" ca="1" si="106"/>
        <v>48162</v>
      </c>
      <c r="AE117" s="260">
        <f t="shared" si="125"/>
        <v>0</v>
      </c>
      <c r="AG117" s="233">
        <v>99</v>
      </c>
      <c r="AH117" s="213">
        <f t="shared" ca="1" si="107"/>
        <v>48162</v>
      </c>
      <c r="AI117" s="260">
        <f t="shared" si="103"/>
        <v>0</v>
      </c>
      <c r="AJ117" s="215">
        <f t="shared" ca="1" si="104"/>
        <v>0</v>
      </c>
      <c r="AK117" s="168">
        <v>99</v>
      </c>
      <c r="AL117" s="213">
        <f t="shared" ca="1" si="108"/>
        <v>48162</v>
      </c>
      <c r="AM117" s="260">
        <f t="shared" si="105"/>
        <v>0</v>
      </c>
      <c r="AO117" s="161">
        <v>99</v>
      </c>
      <c r="AP117" s="117">
        <f t="shared" si="147"/>
        <v>0</v>
      </c>
      <c r="AQ117" s="117">
        <f t="shared" si="148"/>
        <v>0</v>
      </c>
      <c r="AR117" s="117">
        <f t="shared" si="149"/>
        <v>0</v>
      </c>
      <c r="AS117" s="161">
        <f t="shared" si="150"/>
        <v>0</v>
      </c>
      <c r="AT117" s="161">
        <f t="shared" si="151"/>
        <v>0</v>
      </c>
      <c r="AU117" s="161">
        <f t="shared" si="152"/>
        <v>0</v>
      </c>
      <c r="AV117" s="161">
        <f t="shared" si="153"/>
        <v>0</v>
      </c>
      <c r="AW117" s="161">
        <f t="shared" si="154"/>
        <v>0</v>
      </c>
      <c r="AX117" s="161">
        <f t="shared" si="155"/>
        <v>0</v>
      </c>
      <c r="AY117" s="161">
        <f t="shared" si="156"/>
        <v>0</v>
      </c>
      <c r="BD117" s="186" t="str">
        <f t="shared" si="109"/>
        <v>2PREF BOA VISTA</v>
      </c>
      <c r="BE117" s="186">
        <f t="shared" si="110"/>
        <v>2</v>
      </c>
      <c r="BF117" s="209" t="str">
        <f>'Base tabelas'!A96</f>
        <v>PREF BOA VISTA</v>
      </c>
      <c r="BG117" s="209" t="str">
        <f>'Base tabelas'!B96</f>
        <v>765102 - Tabela 2</v>
      </c>
      <c r="BH117" s="209">
        <f>'Base tabelas'!C96</f>
        <v>2.1499999999999998E-2</v>
      </c>
      <c r="BI117" s="209">
        <f>'Base tabelas'!D96</f>
        <v>96</v>
      </c>
      <c r="BJ117" s="209" t="str">
        <f>'Base tabelas'!E96</f>
        <v/>
      </c>
      <c r="BK117" s="209">
        <f>'Base tabelas'!F96</f>
        <v>2.5</v>
      </c>
      <c r="BL117" s="209">
        <f>'Base tabelas'!G96</f>
        <v>15</v>
      </c>
      <c r="BM117" s="209">
        <f>'Base tabelas'!H96</f>
        <v>64</v>
      </c>
      <c r="BN117" s="209" t="str">
        <f>'Base tabelas'!I96</f>
        <v>RFN - PREF DE BOA VISTA PORTAB 2 DIG</v>
      </c>
      <c r="BO117" s="209" t="str">
        <f>'Base tabelas'!J96</f>
        <v>1,9</v>
      </c>
      <c r="BP117" s="209">
        <f>'Base tabelas'!K96</f>
        <v>1.9E-2</v>
      </c>
      <c r="BQ117" s="277">
        <f t="shared" si="122"/>
        <v>2.6072028675259314E-2</v>
      </c>
      <c r="BR117" s="278">
        <f t="shared" si="123"/>
        <v>2.5000000000000001E-2</v>
      </c>
      <c r="BS117" s="279">
        <v>2.9999999999999997E-4</v>
      </c>
    </row>
    <row r="118" spans="3:71" hidden="1" x14ac:dyDescent="0.25">
      <c r="C118">
        <v>69</v>
      </c>
      <c r="D118" s="10">
        <f t="shared" ca="1" si="137"/>
        <v>47248</v>
      </c>
      <c r="E118" s="14">
        <f t="shared" ca="1" si="136"/>
        <v>15.590128749162053</v>
      </c>
      <c r="F118" s="14">
        <f t="shared" si="136"/>
        <v>0</v>
      </c>
      <c r="G118" s="14">
        <f t="shared" si="136"/>
        <v>0</v>
      </c>
      <c r="H118" s="14">
        <f t="shared" si="136"/>
        <v>0</v>
      </c>
      <c r="I118" s="14">
        <f t="shared" si="136"/>
        <v>0</v>
      </c>
      <c r="J118" s="14">
        <f t="shared" si="136"/>
        <v>0</v>
      </c>
      <c r="K118" s="14">
        <f t="shared" si="136"/>
        <v>0</v>
      </c>
      <c r="L118" s="14">
        <f t="shared" si="136"/>
        <v>0</v>
      </c>
      <c r="M118" s="14">
        <f t="shared" si="136"/>
        <v>0</v>
      </c>
      <c r="N118" s="14">
        <f t="shared" si="136"/>
        <v>0</v>
      </c>
      <c r="O118" s="224"/>
      <c r="Q118" s="161">
        <v>100</v>
      </c>
      <c r="R118" s="161">
        <f t="shared" si="111"/>
        <v>0</v>
      </c>
      <c r="S118" s="161">
        <f t="shared" si="138"/>
        <v>0</v>
      </c>
      <c r="T118" s="161">
        <f t="shared" si="139"/>
        <v>0</v>
      </c>
      <c r="U118" s="161">
        <f t="shared" si="140"/>
        <v>0</v>
      </c>
      <c r="V118" s="161">
        <f t="shared" si="141"/>
        <v>0</v>
      </c>
      <c r="W118" s="161">
        <f t="shared" si="142"/>
        <v>0</v>
      </c>
      <c r="X118" s="161">
        <f t="shared" si="143"/>
        <v>0</v>
      </c>
      <c r="Y118" s="161">
        <f t="shared" si="144"/>
        <v>0</v>
      </c>
      <c r="Z118" s="161">
        <f t="shared" si="145"/>
        <v>0</v>
      </c>
      <c r="AA118" s="161">
        <f t="shared" si="146"/>
        <v>0</v>
      </c>
      <c r="AC118" s="168">
        <v>100</v>
      </c>
      <c r="AD118" s="213">
        <f t="shared" ca="1" si="106"/>
        <v>48192</v>
      </c>
      <c r="AE118" s="260">
        <f t="shared" si="125"/>
        <v>0</v>
      </c>
      <c r="AG118" s="233">
        <v>100</v>
      </c>
      <c r="AH118" s="213">
        <f t="shared" ca="1" si="107"/>
        <v>48192</v>
      </c>
      <c r="AI118" s="260">
        <f t="shared" si="103"/>
        <v>0</v>
      </c>
      <c r="AJ118" s="215">
        <f t="shared" ca="1" si="104"/>
        <v>0</v>
      </c>
      <c r="AK118" s="168">
        <v>100</v>
      </c>
      <c r="AL118" s="213">
        <f t="shared" ca="1" si="108"/>
        <v>48192</v>
      </c>
      <c r="AM118" s="260">
        <f t="shared" si="105"/>
        <v>0</v>
      </c>
      <c r="AO118" s="161">
        <v>100</v>
      </c>
      <c r="AP118" s="117">
        <f t="shared" si="147"/>
        <v>0</v>
      </c>
      <c r="AQ118" s="117">
        <f t="shared" si="148"/>
        <v>0</v>
      </c>
      <c r="AR118" s="117">
        <f t="shared" si="149"/>
        <v>0</v>
      </c>
      <c r="AS118" s="161">
        <f t="shared" si="150"/>
        <v>0</v>
      </c>
      <c r="AT118" s="161">
        <f t="shared" si="151"/>
        <v>0</v>
      </c>
      <c r="AU118" s="161">
        <f t="shared" si="152"/>
        <v>0</v>
      </c>
      <c r="AV118" s="161">
        <f t="shared" si="153"/>
        <v>0</v>
      </c>
      <c r="AW118" s="161">
        <f t="shared" si="154"/>
        <v>0</v>
      </c>
      <c r="AX118" s="161">
        <f t="shared" si="155"/>
        <v>0</v>
      </c>
      <c r="AY118" s="161">
        <f t="shared" si="156"/>
        <v>0</v>
      </c>
      <c r="BD118" s="186" t="str">
        <f t="shared" si="109"/>
        <v>1PREF C GRANDE</v>
      </c>
      <c r="BE118" s="186">
        <f t="shared" si="110"/>
        <v>1</v>
      </c>
      <c r="BF118" s="209" t="str">
        <f>'Base tabelas'!A97</f>
        <v>PREF C GRANDE</v>
      </c>
      <c r="BG118" s="209" t="str">
        <f>'Base tabelas'!B97</f>
        <v>215000 - Tabela 1</v>
      </c>
      <c r="BH118" s="209">
        <f>'Base tabelas'!C97</f>
        <v>2.1000000000000001E-2</v>
      </c>
      <c r="BI118" s="209">
        <f>'Base tabelas'!D97</f>
        <v>120</v>
      </c>
      <c r="BJ118" s="209" t="str">
        <f>'Base tabelas'!E97</f>
        <v/>
      </c>
      <c r="BK118" s="209">
        <f>'Base tabelas'!F97</f>
        <v>2.1</v>
      </c>
      <c r="BL118" s="209">
        <f>'Base tabelas'!G97</f>
        <v>20</v>
      </c>
      <c r="BM118" s="209">
        <f>'Base tabelas'!H97</f>
        <v>50</v>
      </c>
      <c r="BN118" s="209" t="str">
        <f>'Base tabelas'!I97</f>
        <v>RFN - PREF CAMPO GRANDE PORTAB 1 DIG</v>
      </c>
      <c r="BO118" s="209" t="str">
        <f>'Base tabelas'!J97</f>
        <v>1,8</v>
      </c>
      <c r="BP118" s="209">
        <f>'Base tabelas'!K97</f>
        <v>1.8000000000000002E-2</v>
      </c>
      <c r="BQ118" s="277">
        <f t="shared" si="122"/>
        <v>2.3910045247216138E-2</v>
      </c>
      <c r="BR118" s="278">
        <f t="shared" si="123"/>
        <v>2.1000000000000001E-2</v>
      </c>
      <c r="BS118" s="279">
        <v>2.9999999999999997E-4</v>
      </c>
    </row>
    <row r="119" spans="3:71" hidden="1" x14ac:dyDescent="0.25">
      <c r="C119">
        <v>70</v>
      </c>
      <c r="D119" s="10">
        <f t="shared" ca="1" si="137"/>
        <v>47279</v>
      </c>
      <c r="E119" s="14">
        <f t="shared" si="136"/>
        <v>0</v>
      </c>
      <c r="F119" s="14">
        <f t="shared" si="136"/>
        <v>0</v>
      </c>
      <c r="G119" s="14">
        <f t="shared" si="136"/>
        <v>0</v>
      </c>
      <c r="H119" s="14">
        <f t="shared" si="136"/>
        <v>0</v>
      </c>
      <c r="I119" s="14">
        <f t="shared" si="136"/>
        <v>0</v>
      </c>
      <c r="J119" s="14">
        <f t="shared" si="136"/>
        <v>0</v>
      </c>
      <c r="K119" s="14">
        <f t="shared" si="136"/>
        <v>0</v>
      </c>
      <c r="L119" s="14">
        <f t="shared" si="136"/>
        <v>0</v>
      </c>
      <c r="M119" s="14">
        <f t="shared" si="136"/>
        <v>0</v>
      </c>
      <c r="N119" s="14">
        <f t="shared" si="136"/>
        <v>0</v>
      </c>
      <c r="O119" s="224"/>
      <c r="Q119" s="161">
        <v>101</v>
      </c>
      <c r="R119" s="161">
        <f t="shared" si="111"/>
        <v>0</v>
      </c>
      <c r="S119" s="161">
        <f t="shared" si="138"/>
        <v>0</v>
      </c>
      <c r="T119" s="161">
        <f t="shared" si="139"/>
        <v>0</v>
      </c>
      <c r="U119" s="161">
        <f t="shared" si="140"/>
        <v>0</v>
      </c>
      <c r="V119" s="161">
        <f t="shared" si="141"/>
        <v>0</v>
      </c>
      <c r="W119" s="161">
        <f t="shared" si="142"/>
        <v>0</v>
      </c>
      <c r="X119" s="161">
        <f t="shared" si="143"/>
        <v>0</v>
      </c>
      <c r="Y119" s="161">
        <f t="shared" si="144"/>
        <v>0</v>
      </c>
      <c r="Z119" s="161">
        <f t="shared" si="145"/>
        <v>0</v>
      </c>
      <c r="AA119" s="161">
        <f t="shared" si="146"/>
        <v>0</v>
      </c>
      <c r="AC119" s="168">
        <v>101</v>
      </c>
      <c r="AD119" s="213">
        <f t="shared" ca="1" si="106"/>
        <v>48223</v>
      </c>
      <c r="AE119" s="260">
        <f t="shared" si="125"/>
        <v>0</v>
      </c>
      <c r="AG119" s="233">
        <v>101</v>
      </c>
      <c r="AH119" s="213">
        <f t="shared" ca="1" si="107"/>
        <v>48223</v>
      </c>
      <c r="AI119" s="260">
        <f t="shared" si="103"/>
        <v>0</v>
      </c>
      <c r="AJ119" s="215">
        <f t="shared" ca="1" si="104"/>
        <v>0</v>
      </c>
      <c r="AK119" s="168">
        <v>101</v>
      </c>
      <c r="AL119" s="213">
        <f t="shared" ca="1" si="108"/>
        <v>48223</v>
      </c>
      <c r="AM119" s="260">
        <f t="shared" si="105"/>
        <v>0</v>
      </c>
      <c r="AO119" s="161">
        <v>101</v>
      </c>
      <c r="AP119" s="117">
        <f t="shared" si="147"/>
        <v>0</v>
      </c>
      <c r="AQ119" s="117">
        <f t="shared" si="148"/>
        <v>0</v>
      </c>
      <c r="AR119" s="117">
        <f t="shared" si="149"/>
        <v>0</v>
      </c>
      <c r="AS119" s="161">
        <f t="shared" si="150"/>
        <v>0</v>
      </c>
      <c r="AT119" s="161">
        <f t="shared" si="151"/>
        <v>0</v>
      </c>
      <c r="AU119" s="161">
        <f t="shared" si="152"/>
        <v>0</v>
      </c>
      <c r="AV119" s="161">
        <f t="shared" si="153"/>
        <v>0</v>
      </c>
      <c r="AW119" s="161">
        <f t="shared" si="154"/>
        <v>0</v>
      </c>
      <c r="AX119" s="161">
        <f t="shared" si="155"/>
        <v>0</v>
      </c>
      <c r="AY119" s="161">
        <f t="shared" si="156"/>
        <v>0</v>
      </c>
      <c r="BD119" s="186" t="str">
        <f t="shared" ref="BD119:BD150" si="157">CONCATENATE(BE119,BF119)</f>
        <v>1PREF CAMAÇARI</v>
      </c>
      <c r="BE119" s="186">
        <f t="shared" ref="BE119:BE150" si="158">IF(BF119=BF118,BE118+1,1)</f>
        <v>1</v>
      </c>
      <c r="BF119" s="209" t="str">
        <f>'Base tabelas'!A98</f>
        <v>PREF CAMAÇARI</v>
      </c>
      <c r="BG119" s="209" t="str">
        <f>'Base tabelas'!B98</f>
        <v>881108 - Tabela 5</v>
      </c>
      <c r="BH119" s="209">
        <f>'Base tabelas'!C98</f>
        <v>2.2499999999999999E-2</v>
      </c>
      <c r="BI119" s="209">
        <f>'Base tabelas'!D98</f>
        <v>120</v>
      </c>
      <c r="BJ119" s="209" t="str">
        <f>'Base tabelas'!E98</f>
        <v/>
      </c>
      <c r="BK119" s="209">
        <f>'Base tabelas'!F98</f>
        <v>2.5</v>
      </c>
      <c r="BL119" s="209">
        <f>'Base tabelas'!G98</f>
        <v>10</v>
      </c>
      <c r="BM119" s="209">
        <f>'Base tabelas'!H98</f>
        <v>46</v>
      </c>
      <c r="BN119" s="209" t="str">
        <f>'Base tabelas'!I98</f>
        <v>RFN - PREF CAMAÇARI PORTAB 5 DIG</v>
      </c>
      <c r="BO119" s="209" t="str">
        <f>'Base tabelas'!J98</f>
        <v>2</v>
      </c>
      <c r="BP119" s="209">
        <f>'Base tabelas'!K98</f>
        <v>0.02</v>
      </c>
      <c r="BQ119" s="277">
        <f t="shared" si="122"/>
        <v>2.52005963318883E-2</v>
      </c>
      <c r="BR119" s="278">
        <f t="shared" si="123"/>
        <v>2.5000000000000001E-2</v>
      </c>
      <c r="BS119" s="279">
        <v>2.9999999999999997E-4</v>
      </c>
    </row>
    <row r="120" spans="3:71" hidden="1" x14ac:dyDescent="0.25">
      <c r="C120">
        <v>71</v>
      </c>
      <c r="D120" s="10">
        <f t="shared" ca="1" si="137"/>
        <v>47309</v>
      </c>
      <c r="E120" s="14">
        <f t="shared" ref="E120:N129" si="159">IF($C120&lt;=E$17,E$18/(($D$48+1)^(($D120-$D$49)/30)),0)</f>
        <v>0</v>
      </c>
      <c r="F120" s="14">
        <f t="shared" si="159"/>
        <v>0</v>
      </c>
      <c r="G120" s="14">
        <f t="shared" si="159"/>
        <v>0</v>
      </c>
      <c r="H120" s="14">
        <f t="shared" si="159"/>
        <v>0</v>
      </c>
      <c r="I120" s="14">
        <f t="shared" si="159"/>
        <v>0</v>
      </c>
      <c r="J120" s="14">
        <f t="shared" si="159"/>
        <v>0</v>
      </c>
      <c r="K120" s="14">
        <f t="shared" si="159"/>
        <v>0</v>
      </c>
      <c r="L120" s="14">
        <f t="shared" si="159"/>
        <v>0</v>
      </c>
      <c r="M120" s="14">
        <f t="shared" si="159"/>
        <v>0</v>
      </c>
      <c r="N120" s="14">
        <f t="shared" si="159"/>
        <v>0</v>
      </c>
      <c r="O120" s="224"/>
      <c r="Q120" s="161">
        <v>102</v>
      </c>
      <c r="R120" s="161">
        <f t="shared" si="111"/>
        <v>0</v>
      </c>
      <c r="S120" s="161">
        <f t="shared" si="138"/>
        <v>0</v>
      </c>
      <c r="T120" s="161">
        <f t="shared" si="139"/>
        <v>0</v>
      </c>
      <c r="U120" s="161">
        <f t="shared" si="140"/>
        <v>0</v>
      </c>
      <c r="V120" s="161">
        <f t="shared" si="141"/>
        <v>0</v>
      </c>
      <c r="W120" s="161">
        <f t="shared" si="142"/>
        <v>0</v>
      </c>
      <c r="X120" s="161">
        <f t="shared" si="143"/>
        <v>0</v>
      </c>
      <c r="Y120" s="161">
        <f t="shared" si="144"/>
        <v>0</v>
      </c>
      <c r="Z120" s="161">
        <f t="shared" si="145"/>
        <v>0</v>
      </c>
      <c r="AA120" s="161">
        <f t="shared" si="146"/>
        <v>0</v>
      </c>
      <c r="AC120" s="168">
        <v>102</v>
      </c>
      <c r="AD120" s="213">
        <f t="shared" ca="1" si="106"/>
        <v>48254</v>
      </c>
      <c r="AE120" s="260">
        <f t="shared" si="125"/>
        <v>0</v>
      </c>
      <c r="AG120" s="233">
        <v>102</v>
      </c>
      <c r="AH120" s="213">
        <f t="shared" ca="1" si="107"/>
        <v>48254</v>
      </c>
      <c r="AI120" s="260">
        <f t="shared" si="103"/>
        <v>0</v>
      </c>
      <c r="AJ120" s="215">
        <f t="shared" ca="1" si="104"/>
        <v>0</v>
      </c>
      <c r="AK120" s="168">
        <v>102</v>
      </c>
      <c r="AL120" s="213">
        <f t="shared" ca="1" si="108"/>
        <v>48254</v>
      </c>
      <c r="AM120" s="260">
        <f t="shared" si="105"/>
        <v>0</v>
      </c>
      <c r="AO120" s="161">
        <v>102</v>
      </c>
      <c r="AP120" s="117">
        <f t="shared" si="147"/>
        <v>0</v>
      </c>
      <c r="AQ120" s="117">
        <f t="shared" si="148"/>
        <v>0</v>
      </c>
      <c r="AR120" s="117">
        <f t="shared" si="149"/>
        <v>0</v>
      </c>
      <c r="AS120" s="161">
        <f t="shared" si="150"/>
        <v>0</v>
      </c>
      <c r="AT120" s="161">
        <f t="shared" si="151"/>
        <v>0</v>
      </c>
      <c r="AU120" s="161">
        <f t="shared" si="152"/>
        <v>0</v>
      </c>
      <c r="AV120" s="161">
        <f t="shared" si="153"/>
        <v>0</v>
      </c>
      <c r="AW120" s="161">
        <f t="shared" si="154"/>
        <v>0</v>
      </c>
      <c r="AX120" s="161">
        <f t="shared" si="155"/>
        <v>0</v>
      </c>
      <c r="AY120" s="161">
        <f t="shared" si="156"/>
        <v>0</v>
      </c>
      <c r="BD120" s="186" t="str">
        <f t="shared" si="157"/>
        <v>1PREF CUIABA</v>
      </c>
      <c r="BE120" s="186">
        <f t="shared" si="158"/>
        <v>1</v>
      </c>
      <c r="BF120" s="209" t="str">
        <f>'Base tabelas'!A99</f>
        <v>PREF CUIABA</v>
      </c>
      <c r="BG120" s="209" t="str">
        <f>'Base tabelas'!B99</f>
        <v>715171 - Tabela 1</v>
      </c>
      <c r="BH120" s="209">
        <f>'Base tabelas'!C99</f>
        <v>1.9E-2</v>
      </c>
      <c r="BI120" s="209">
        <f>'Base tabelas'!D99</f>
        <v>120</v>
      </c>
      <c r="BJ120" s="209" t="str">
        <f>'Base tabelas'!E99</f>
        <v/>
      </c>
      <c r="BK120" s="209">
        <f>'Base tabelas'!F99</f>
        <v>2.2000000000000002</v>
      </c>
      <c r="BL120" s="209">
        <f>'Base tabelas'!G99</f>
        <v>30</v>
      </c>
      <c r="BM120" s="209">
        <f>'Base tabelas'!H99</f>
        <v>69</v>
      </c>
      <c r="BN120" s="209" t="str">
        <f>'Base tabelas'!I99</f>
        <v>RFN - PREF CUIABA DIG 1 PORTAB</v>
      </c>
      <c r="BO120" s="209" t="str">
        <f>'Base tabelas'!J99</f>
        <v>1,65</v>
      </c>
      <c r="BP120" s="209">
        <f>'Base tabelas'!K99</f>
        <v>1.6500000000000001E-2</v>
      </c>
      <c r="BQ120" s="277">
        <f t="shared" si="122"/>
        <v>2.2398617049905378E-2</v>
      </c>
      <c r="BR120" s="278">
        <f t="shared" si="123"/>
        <v>2.2000000000000002E-2</v>
      </c>
      <c r="BS120" s="279">
        <v>2.9999999999999997E-4</v>
      </c>
    </row>
    <row r="121" spans="3:71" hidden="1" x14ac:dyDescent="0.25">
      <c r="C121">
        <v>72</v>
      </c>
      <c r="D121" s="10">
        <f t="shared" ca="1" si="137"/>
        <v>47340</v>
      </c>
      <c r="E121" s="14">
        <f t="shared" si="159"/>
        <v>0</v>
      </c>
      <c r="F121" s="14">
        <f t="shared" si="159"/>
        <v>0</v>
      </c>
      <c r="G121" s="14">
        <f t="shared" si="159"/>
        <v>0</v>
      </c>
      <c r="H121" s="14">
        <f t="shared" si="159"/>
        <v>0</v>
      </c>
      <c r="I121" s="14">
        <f t="shared" si="159"/>
        <v>0</v>
      </c>
      <c r="J121" s="14">
        <f t="shared" si="159"/>
        <v>0</v>
      </c>
      <c r="K121" s="14">
        <f t="shared" si="159"/>
        <v>0</v>
      </c>
      <c r="L121" s="14">
        <f t="shared" si="159"/>
        <v>0</v>
      </c>
      <c r="M121" s="14">
        <f t="shared" si="159"/>
        <v>0</v>
      </c>
      <c r="N121" s="14">
        <f t="shared" si="159"/>
        <v>0</v>
      </c>
      <c r="O121" s="224"/>
      <c r="Q121" s="161">
        <v>103</v>
      </c>
      <c r="R121" s="161">
        <f t="shared" si="111"/>
        <v>0</v>
      </c>
      <c r="S121" s="161">
        <f t="shared" si="138"/>
        <v>0</v>
      </c>
      <c r="T121" s="161">
        <f t="shared" si="139"/>
        <v>0</v>
      </c>
      <c r="U121" s="161">
        <f t="shared" si="140"/>
        <v>0</v>
      </c>
      <c r="V121" s="161">
        <f t="shared" si="141"/>
        <v>0</v>
      </c>
      <c r="W121" s="161">
        <f t="shared" si="142"/>
        <v>0</v>
      </c>
      <c r="X121" s="161">
        <f t="shared" si="143"/>
        <v>0</v>
      </c>
      <c r="Y121" s="161">
        <f t="shared" si="144"/>
        <v>0</v>
      </c>
      <c r="Z121" s="161">
        <f t="shared" si="145"/>
        <v>0</v>
      </c>
      <c r="AA121" s="161">
        <f t="shared" si="146"/>
        <v>0</v>
      </c>
      <c r="AC121" s="168">
        <v>103</v>
      </c>
      <c r="AD121" s="213">
        <f t="shared" ca="1" si="106"/>
        <v>48283</v>
      </c>
      <c r="AE121" s="260">
        <f t="shared" si="125"/>
        <v>0</v>
      </c>
      <c r="AG121" s="233">
        <v>103</v>
      </c>
      <c r="AH121" s="213">
        <f t="shared" ca="1" si="107"/>
        <v>48283</v>
      </c>
      <c r="AI121" s="260">
        <f t="shared" si="103"/>
        <v>0</v>
      </c>
      <c r="AJ121" s="215">
        <f t="shared" ca="1" si="104"/>
        <v>0</v>
      </c>
      <c r="AK121" s="168">
        <v>103</v>
      </c>
      <c r="AL121" s="213">
        <f t="shared" ca="1" si="108"/>
        <v>48283</v>
      </c>
      <c r="AM121" s="260">
        <f t="shared" si="105"/>
        <v>0</v>
      </c>
      <c r="AO121" s="161">
        <v>103</v>
      </c>
      <c r="AP121" s="117">
        <f t="shared" si="147"/>
        <v>0</v>
      </c>
      <c r="AQ121" s="117">
        <f t="shared" si="148"/>
        <v>0</v>
      </c>
      <c r="AR121" s="117">
        <f t="shared" si="149"/>
        <v>0</v>
      </c>
      <c r="AS121" s="161">
        <f t="shared" si="150"/>
        <v>0</v>
      </c>
      <c r="AT121" s="161">
        <f t="shared" si="151"/>
        <v>0</v>
      </c>
      <c r="AU121" s="161">
        <f t="shared" si="152"/>
        <v>0</v>
      </c>
      <c r="AV121" s="161">
        <f t="shared" si="153"/>
        <v>0</v>
      </c>
      <c r="AW121" s="161">
        <f t="shared" si="154"/>
        <v>0</v>
      </c>
      <c r="AX121" s="161">
        <f t="shared" si="155"/>
        <v>0</v>
      </c>
      <c r="AY121" s="161">
        <f t="shared" si="156"/>
        <v>0</v>
      </c>
      <c r="BD121" s="186" t="str">
        <f t="shared" si="157"/>
        <v>1PREF FLORIANOPO</v>
      </c>
      <c r="BE121" s="186">
        <f t="shared" si="158"/>
        <v>1</v>
      </c>
      <c r="BF121" s="209" t="str">
        <f>'Base tabelas'!A100</f>
        <v>PREF FLORIANOPO</v>
      </c>
      <c r="BG121" s="209" t="str">
        <f>'Base tabelas'!B100</f>
        <v>745096 - Tabela 1</v>
      </c>
      <c r="BH121" s="209">
        <f>'Base tabelas'!C100</f>
        <v>1.9E-2</v>
      </c>
      <c r="BI121" s="209">
        <f>'Base tabelas'!D100</f>
        <v>120</v>
      </c>
      <c r="BJ121" s="209" t="str">
        <f>'Base tabelas'!E100</f>
        <v/>
      </c>
      <c r="BK121" s="209">
        <f>'Base tabelas'!F100</f>
        <v>2.1</v>
      </c>
      <c r="BL121" s="209">
        <f>'Base tabelas'!G100</f>
        <v>10</v>
      </c>
      <c r="BM121" s="209">
        <f>'Base tabelas'!H100</f>
        <v>40</v>
      </c>
      <c r="BN121" s="209" t="str">
        <f>'Base tabelas'!I100</f>
        <v>RFN - PREF FLORIPA PORTAB 1 DIG</v>
      </c>
      <c r="BO121" s="209" t="str">
        <f>'Base tabelas'!J100</f>
        <v>1,4</v>
      </c>
      <c r="BP121" s="209">
        <f>'Base tabelas'!K100</f>
        <v>1.3999999999999999E-2</v>
      </c>
      <c r="BQ121" s="277">
        <f t="shared" si="122"/>
        <v>2.1994773471985002E-2</v>
      </c>
      <c r="BR121" s="278">
        <f t="shared" si="123"/>
        <v>2.1000000000000001E-2</v>
      </c>
      <c r="BS121" s="279">
        <v>2.9999999999999997E-4</v>
      </c>
    </row>
    <row r="122" spans="3:71" hidden="1" x14ac:dyDescent="0.25">
      <c r="C122">
        <v>73</v>
      </c>
      <c r="D122" s="10">
        <f t="shared" ca="1" si="137"/>
        <v>47371</v>
      </c>
      <c r="E122" s="14">
        <f t="shared" si="159"/>
        <v>0</v>
      </c>
      <c r="F122" s="14">
        <f t="shared" si="159"/>
        <v>0</v>
      </c>
      <c r="G122" s="14">
        <f t="shared" si="159"/>
        <v>0</v>
      </c>
      <c r="H122" s="14">
        <f t="shared" si="159"/>
        <v>0</v>
      </c>
      <c r="I122" s="14">
        <f t="shared" si="159"/>
        <v>0</v>
      </c>
      <c r="J122" s="14">
        <f t="shared" si="159"/>
        <v>0</v>
      </c>
      <c r="K122" s="14">
        <f t="shared" si="159"/>
        <v>0</v>
      </c>
      <c r="L122" s="14">
        <f t="shared" si="159"/>
        <v>0</v>
      </c>
      <c r="M122" s="14">
        <f t="shared" si="159"/>
        <v>0</v>
      </c>
      <c r="N122" s="14">
        <f t="shared" si="159"/>
        <v>0</v>
      </c>
      <c r="O122" s="224"/>
      <c r="Q122" s="161">
        <v>104</v>
      </c>
      <c r="R122" s="161">
        <f t="shared" si="111"/>
        <v>0</v>
      </c>
      <c r="S122" s="161">
        <f t="shared" si="138"/>
        <v>0</v>
      </c>
      <c r="T122" s="161">
        <f t="shared" si="139"/>
        <v>0</v>
      </c>
      <c r="U122" s="161">
        <f t="shared" si="140"/>
        <v>0</v>
      </c>
      <c r="V122" s="161">
        <f t="shared" si="141"/>
        <v>0</v>
      </c>
      <c r="W122" s="161">
        <f t="shared" si="142"/>
        <v>0</v>
      </c>
      <c r="X122" s="161">
        <f t="shared" si="143"/>
        <v>0</v>
      </c>
      <c r="Y122" s="161">
        <f t="shared" si="144"/>
        <v>0</v>
      </c>
      <c r="Z122" s="161">
        <f t="shared" si="145"/>
        <v>0</v>
      </c>
      <c r="AA122" s="161">
        <f t="shared" si="146"/>
        <v>0</v>
      </c>
      <c r="AC122" s="168">
        <v>104</v>
      </c>
      <c r="AD122" s="213">
        <f t="shared" ca="1" si="106"/>
        <v>48314</v>
      </c>
      <c r="AE122" s="260">
        <f t="shared" si="125"/>
        <v>0</v>
      </c>
      <c r="AG122" s="233">
        <v>104</v>
      </c>
      <c r="AH122" s="213">
        <f t="shared" ca="1" si="107"/>
        <v>48314</v>
      </c>
      <c r="AI122" s="260">
        <f t="shared" si="103"/>
        <v>0</v>
      </c>
      <c r="AJ122" s="215">
        <f t="shared" ca="1" si="104"/>
        <v>0</v>
      </c>
      <c r="AK122" s="168">
        <v>104</v>
      </c>
      <c r="AL122" s="213">
        <f t="shared" ca="1" si="108"/>
        <v>48314</v>
      </c>
      <c r="AM122" s="260">
        <f t="shared" si="105"/>
        <v>0</v>
      </c>
      <c r="AO122" s="161">
        <v>104</v>
      </c>
      <c r="AP122" s="117">
        <f t="shared" si="147"/>
        <v>0</v>
      </c>
      <c r="AQ122" s="117">
        <f t="shared" si="148"/>
        <v>0</v>
      </c>
      <c r="AR122" s="117">
        <f t="shared" si="149"/>
        <v>0</v>
      </c>
      <c r="AS122" s="161">
        <f t="shared" si="150"/>
        <v>0</v>
      </c>
      <c r="AT122" s="161">
        <f t="shared" si="151"/>
        <v>0</v>
      </c>
      <c r="AU122" s="161">
        <f t="shared" si="152"/>
        <v>0</v>
      </c>
      <c r="AV122" s="161">
        <f t="shared" si="153"/>
        <v>0</v>
      </c>
      <c r="AW122" s="161">
        <f t="shared" si="154"/>
        <v>0</v>
      </c>
      <c r="AX122" s="161">
        <f t="shared" si="155"/>
        <v>0</v>
      </c>
      <c r="AY122" s="161">
        <f t="shared" si="156"/>
        <v>0</v>
      </c>
      <c r="BD122" s="186" t="str">
        <f t="shared" si="157"/>
        <v>2PREF FLORIANOPO</v>
      </c>
      <c r="BE122" s="186">
        <f t="shared" si="158"/>
        <v>2</v>
      </c>
      <c r="BF122" s="209" t="str">
        <f>'Base tabelas'!A101</f>
        <v>PREF FLORIANOPO</v>
      </c>
      <c r="BG122" s="209" t="str">
        <f>'Base tabelas'!B101</f>
        <v>745097 - Tabela 1</v>
      </c>
      <c r="BH122" s="209">
        <f>'Base tabelas'!C101</f>
        <v>1.9E-2</v>
      </c>
      <c r="BI122" s="209">
        <f>'Base tabelas'!D101</f>
        <v>120</v>
      </c>
      <c r="BJ122" s="209" t="str">
        <f>'Base tabelas'!E101</f>
        <v/>
      </c>
      <c r="BK122" s="209">
        <f>'Base tabelas'!F101</f>
        <v>2.1</v>
      </c>
      <c r="BL122" s="209">
        <f>'Base tabelas'!G101</f>
        <v>10</v>
      </c>
      <c r="BM122" s="209">
        <f>'Base tabelas'!H101</f>
        <v>43</v>
      </c>
      <c r="BN122" s="209" t="str">
        <f>'Base tabelas'!I101</f>
        <v>RFN - PREF FLORIPA PORTAB 1 DIG AROS</v>
      </c>
      <c r="BO122" s="209" t="str">
        <f>'Base tabelas'!J101</f>
        <v>1,4</v>
      </c>
      <c r="BP122" s="209">
        <f>'Base tabelas'!K101</f>
        <v>1.3999999999999999E-2</v>
      </c>
      <c r="BQ122" s="277">
        <f t="shared" si="122"/>
        <v>2.2036210477695769E-2</v>
      </c>
      <c r="BR122" s="278">
        <f t="shared" si="123"/>
        <v>2.1000000000000001E-2</v>
      </c>
      <c r="BS122" s="279">
        <v>2.9999999999999997E-4</v>
      </c>
    </row>
    <row r="123" spans="3:71" hidden="1" x14ac:dyDescent="0.25">
      <c r="C123">
        <v>74</v>
      </c>
      <c r="D123" s="10">
        <f t="shared" ca="1" si="137"/>
        <v>47401</v>
      </c>
      <c r="E123" s="14">
        <f t="shared" si="159"/>
        <v>0</v>
      </c>
      <c r="F123" s="14">
        <f t="shared" si="159"/>
        <v>0</v>
      </c>
      <c r="G123" s="14">
        <f t="shared" si="159"/>
        <v>0</v>
      </c>
      <c r="H123" s="14">
        <f t="shared" si="159"/>
        <v>0</v>
      </c>
      <c r="I123" s="14">
        <f t="shared" si="159"/>
        <v>0</v>
      </c>
      <c r="J123" s="14">
        <f t="shared" si="159"/>
        <v>0</v>
      </c>
      <c r="K123" s="14">
        <f t="shared" si="159"/>
        <v>0</v>
      </c>
      <c r="L123" s="14">
        <f t="shared" si="159"/>
        <v>0</v>
      </c>
      <c r="M123" s="14">
        <f t="shared" si="159"/>
        <v>0</v>
      </c>
      <c r="N123" s="14">
        <f t="shared" si="159"/>
        <v>0</v>
      </c>
      <c r="O123" s="224"/>
      <c r="Q123" s="161">
        <v>105</v>
      </c>
      <c r="R123" s="161">
        <f t="shared" si="111"/>
        <v>0</v>
      </c>
      <c r="S123" s="161">
        <f t="shared" si="138"/>
        <v>0</v>
      </c>
      <c r="T123" s="161">
        <f t="shared" si="139"/>
        <v>0</v>
      </c>
      <c r="U123" s="161">
        <f t="shared" si="140"/>
        <v>0</v>
      </c>
      <c r="V123" s="161">
        <f t="shared" si="141"/>
        <v>0</v>
      </c>
      <c r="W123" s="161">
        <f t="shared" si="142"/>
        <v>0</v>
      </c>
      <c r="X123" s="161">
        <f t="shared" si="143"/>
        <v>0</v>
      </c>
      <c r="Y123" s="161">
        <f t="shared" si="144"/>
        <v>0</v>
      </c>
      <c r="Z123" s="161">
        <f t="shared" si="145"/>
        <v>0</v>
      </c>
      <c r="AA123" s="161">
        <f t="shared" si="146"/>
        <v>0</v>
      </c>
      <c r="AC123" s="168">
        <v>105</v>
      </c>
      <c r="AD123" s="213">
        <f t="shared" ca="1" si="106"/>
        <v>48344</v>
      </c>
      <c r="AE123" s="260">
        <f t="shared" si="125"/>
        <v>0</v>
      </c>
      <c r="AG123" s="233">
        <v>105</v>
      </c>
      <c r="AH123" s="213">
        <f t="shared" ca="1" si="107"/>
        <v>48344</v>
      </c>
      <c r="AI123" s="260">
        <f t="shared" si="103"/>
        <v>0</v>
      </c>
      <c r="AJ123" s="215">
        <f t="shared" ca="1" si="104"/>
        <v>0</v>
      </c>
      <c r="AK123" s="168">
        <v>105</v>
      </c>
      <c r="AL123" s="213">
        <f t="shared" ca="1" si="108"/>
        <v>48344</v>
      </c>
      <c r="AM123" s="260">
        <f t="shared" si="105"/>
        <v>0</v>
      </c>
      <c r="AO123" s="161">
        <v>105</v>
      </c>
      <c r="AP123" s="117">
        <f t="shared" si="147"/>
        <v>0</v>
      </c>
      <c r="AQ123" s="117">
        <f t="shared" si="148"/>
        <v>0</v>
      </c>
      <c r="AR123" s="117">
        <f t="shared" si="149"/>
        <v>0</v>
      </c>
      <c r="AS123" s="161">
        <f t="shared" si="150"/>
        <v>0</v>
      </c>
      <c r="AT123" s="161">
        <f t="shared" si="151"/>
        <v>0</v>
      </c>
      <c r="AU123" s="161">
        <f t="shared" si="152"/>
        <v>0</v>
      </c>
      <c r="AV123" s="161">
        <f t="shared" si="153"/>
        <v>0</v>
      </c>
      <c r="AW123" s="161">
        <f t="shared" si="154"/>
        <v>0</v>
      </c>
      <c r="AX123" s="161">
        <f t="shared" si="155"/>
        <v>0</v>
      </c>
      <c r="AY123" s="161">
        <f t="shared" si="156"/>
        <v>0</v>
      </c>
      <c r="BD123" s="186" t="str">
        <f t="shared" si="157"/>
        <v>3PREF FLORIANOPO</v>
      </c>
      <c r="BE123" s="186">
        <f t="shared" si="158"/>
        <v>3</v>
      </c>
      <c r="BF123" s="209" t="str">
        <f>'Base tabelas'!A102</f>
        <v>PREF FLORIANOPO</v>
      </c>
      <c r="BG123" s="209" t="str">
        <f>'Base tabelas'!B102</f>
        <v>745098 - Tabela 2</v>
      </c>
      <c r="BH123" s="209">
        <f>'Base tabelas'!C102</f>
        <v>1.8000000000000002E-2</v>
      </c>
      <c r="BI123" s="209">
        <f>'Base tabelas'!D102</f>
        <v>120</v>
      </c>
      <c r="BJ123" s="209" t="str">
        <f>'Base tabelas'!E102</f>
        <v/>
      </c>
      <c r="BK123" s="209">
        <f>'Base tabelas'!F102</f>
        <v>2.1</v>
      </c>
      <c r="BL123" s="209">
        <f>'Base tabelas'!G102</f>
        <v>10</v>
      </c>
      <c r="BM123" s="209">
        <f>'Base tabelas'!H102</f>
        <v>46</v>
      </c>
      <c r="BN123" s="209" t="str">
        <f>'Base tabelas'!I102</f>
        <v>RFN - PREF FLORIPA PORTAB 2 DIG</v>
      </c>
      <c r="BO123" s="209" t="str">
        <f>'Base tabelas'!J102</f>
        <v>1,4</v>
      </c>
      <c r="BP123" s="209">
        <f>'Base tabelas'!K102</f>
        <v>1.3999999999999999E-2</v>
      </c>
      <c r="BQ123" s="277">
        <f t="shared" si="122"/>
        <v>2.1214329341591353E-2</v>
      </c>
      <c r="BR123" s="278">
        <f t="shared" si="123"/>
        <v>2.1000000000000001E-2</v>
      </c>
      <c r="BS123" s="279">
        <v>2.9999999999999997E-4</v>
      </c>
    </row>
    <row r="124" spans="3:71" hidden="1" x14ac:dyDescent="0.25">
      <c r="C124">
        <v>75</v>
      </c>
      <c r="D124" s="10">
        <f t="shared" ca="1" si="137"/>
        <v>47432</v>
      </c>
      <c r="E124" s="14">
        <f t="shared" si="159"/>
        <v>0</v>
      </c>
      <c r="F124" s="14">
        <f t="shared" si="159"/>
        <v>0</v>
      </c>
      <c r="G124" s="14">
        <f t="shared" si="159"/>
        <v>0</v>
      </c>
      <c r="H124" s="14">
        <f t="shared" si="159"/>
        <v>0</v>
      </c>
      <c r="I124" s="14">
        <f t="shared" si="159"/>
        <v>0</v>
      </c>
      <c r="J124" s="14">
        <f t="shared" si="159"/>
        <v>0</v>
      </c>
      <c r="K124" s="14">
        <f t="shared" si="159"/>
        <v>0</v>
      </c>
      <c r="L124" s="14">
        <f t="shared" si="159"/>
        <v>0</v>
      </c>
      <c r="M124" s="14">
        <f t="shared" si="159"/>
        <v>0</v>
      </c>
      <c r="N124" s="14">
        <f t="shared" si="159"/>
        <v>0</v>
      </c>
      <c r="O124" s="224"/>
      <c r="Q124" s="161">
        <v>106</v>
      </c>
      <c r="R124" s="161">
        <f t="shared" si="111"/>
        <v>0</v>
      </c>
      <c r="S124" s="161">
        <f t="shared" si="138"/>
        <v>0</v>
      </c>
      <c r="T124" s="161">
        <f t="shared" si="139"/>
        <v>0</v>
      </c>
      <c r="U124" s="161">
        <f t="shared" si="140"/>
        <v>0</v>
      </c>
      <c r="V124" s="161">
        <f t="shared" si="141"/>
        <v>0</v>
      </c>
      <c r="W124" s="161">
        <f t="shared" si="142"/>
        <v>0</v>
      </c>
      <c r="X124" s="161">
        <f t="shared" si="143"/>
        <v>0</v>
      </c>
      <c r="Y124" s="161">
        <f t="shared" si="144"/>
        <v>0</v>
      </c>
      <c r="Z124" s="161">
        <f t="shared" si="145"/>
        <v>0</v>
      </c>
      <c r="AA124" s="161">
        <f t="shared" si="146"/>
        <v>0</v>
      </c>
      <c r="AC124" s="168">
        <v>106</v>
      </c>
      <c r="AD124" s="213">
        <f t="shared" ca="1" si="106"/>
        <v>48375</v>
      </c>
      <c r="AE124" s="260">
        <f t="shared" si="125"/>
        <v>0</v>
      </c>
      <c r="AG124" s="233">
        <v>106</v>
      </c>
      <c r="AH124" s="213">
        <f t="shared" ca="1" si="107"/>
        <v>48375</v>
      </c>
      <c r="AI124" s="260">
        <f t="shared" si="103"/>
        <v>0</v>
      </c>
      <c r="AJ124" s="215">
        <f t="shared" ca="1" si="104"/>
        <v>0</v>
      </c>
      <c r="AK124" s="168">
        <v>106</v>
      </c>
      <c r="AL124" s="213">
        <f t="shared" ca="1" si="108"/>
        <v>48375</v>
      </c>
      <c r="AM124" s="260">
        <f t="shared" si="105"/>
        <v>0</v>
      </c>
      <c r="AO124" s="161">
        <v>106</v>
      </c>
      <c r="AP124" s="117">
        <f t="shared" si="147"/>
        <v>0</v>
      </c>
      <c r="AQ124" s="117">
        <f t="shared" si="148"/>
        <v>0</v>
      </c>
      <c r="AR124" s="117">
        <f t="shared" si="149"/>
        <v>0</v>
      </c>
      <c r="AS124" s="161">
        <f t="shared" si="150"/>
        <v>0</v>
      </c>
      <c r="AT124" s="161">
        <f t="shared" si="151"/>
        <v>0</v>
      </c>
      <c r="AU124" s="161">
        <f t="shared" si="152"/>
        <v>0</v>
      </c>
      <c r="AV124" s="161">
        <f t="shared" si="153"/>
        <v>0</v>
      </c>
      <c r="AW124" s="161">
        <f t="shared" si="154"/>
        <v>0</v>
      </c>
      <c r="AX124" s="161">
        <f t="shared" si="155"/>
        <v>0</v>
      </c>
      <c r="AY124" s="161">
        <f t="shared" si="156"/>
        <v>0</v>
      </c>
      <c r="BD124" s="186" t="str">
        <f t="shared" si="157"/>
        <v>1PREF FORTALEZA</v>
      </c>
      <c r="BE124" s="186">
        <f t="shared" si="158"/>
        <v>1</v>
      </c>
      <c r="BF124" s="209" t="str">
        <f>'Base tabelas'!A103</f>
        <v>PREF FORTALEZA</v>
      </c>
      <c r="BG124" s="209" t="str">
        <f>'Base tabelas'!B103</f>
        <v>765120 - Tabela 1</v>
      </c>
      <c r="BH124" s="209">
        <f>'Base tabelas'!C103</f>
        <v>2.3399999999999997E-2</v>
      </c>
      <c r="BI124" s="209">
        <f>'Base tabelas'!D103</f>
        <v>120</v>
      </c>
      <c r="BJ124" s="209" t="str">
        <f>'Base tabelas'!E103</f>
        <v/>
      </c>
      <c r="BK124" s="209">
        <f>'Base tabelas'!F103</f>
        <v>2.34</v>
      </c>
      <c r="BL124" s="209">
        <f>'Base tabelas'!G103</f>
        <v>10</v>
      </c>
      <c r="BM124" s="209">
        <f>'Base tabelas'!H103</f>
        <v>47</v>
      </c>
      <c r="BN124" s="209" t="str">
        <f>'Base tabelas'!I103</f>
        <v>RFN - PREF FORTALEZA DIG PORTABILIDADE 1</v>
      </c>
      <c r="BO124" s="209" t="str">
        <f>'Base tabelas'!J103</f>
        <v>1,29</v>
      </c>
      <c r="BP124" s="209">
        <f>'Base tabelas'!K103</f>
        <v>1.29E-2</v>
      </c>
      <c r="BQ124" s="277">
        <f t="shared" si="122"/>
        <v>2.6046980742064935E-2</v>
      </c>
      <c r="BR124" s="278">
        <f t="shared" si="123"/>
        <v>2.3399999999999997E-2</v>
      </c>
      <c r="BS124" s="279">
        <v>2.9999999999999997E-4</v>
      </c>
    </row>
    <row r="125" spans="3:71" hidden="1" x14ac:dyDescent="0.25">
      <c r="C125">
        <v>76</v>
      </c>
      <c r="D125" s="10">
        <f t="shared" ca="1" si="137"/>
        <v>47462</v>
      </c>
      <c r="E125" s="14">
        <f t="shared" si="159"/>
        <v>0</v>
      </c>
      <c r="F125" s="14">
        <f t="shared" si="159"/>
        <v>0</v>
      </c>
      <c r="G125" s="14">
        <f t="shared" si="159"/>
        <v>0</v>
      </c>
      <c r="H125" s="14">
        <f t="shared" si="159"/>
        <v>0</v>
      </c>
      <c r="I125" s="14">
        <f t="shared" si="159"/>
        <v>0</v>
      </c>
      <c r="J125" s="14">
        <f t="shared" si="159"/>
        <v>0</v>
      </c>
      <c r="K125" s="14">
        <f t="shared" si="159"/>
        <v>0</v>
      </c>
      <c r="L125" s="14">
        <f t="shared" si="159"/>
        <v>0</v>
      </c>
      <c r="M125" s="14">
        <f t="shared" si="159"/>
        <v>0</v>
      </c>
      <c r="N125" s="14">
        <f t="shared" si="159"/>
        <v>0</v>
      </c>
      <c r="O125" s="224"/>
      <c r="Q125" s="161">
        <v>107</v>
      </c>
      <c r="R125" s="161">
        <f t="shared" si="111"/>
        <v>0</v>
      </c>
      <c r="S125" s="161">
        <f t="shared" si="138"/>
        <v>0</v>
      </c>
      <c r="T125" s="161">
        <f t="shared" si="139"/>
        <v>0</v>
      </c>
      <c r="U125" s="161">
        <f t="shared" si="140"/>
        <v>0</v>
      </c>
      <c r="V125" s="161">
        <f t="shared" si="141"/>
        <v>0</v>
      </c>
      <c r="W125" s="161">
        <f t="shared" si="142"/>
        <v>0</v>
      </c>
      <c r="X125" s="161">
        <f t="shared" si="143"/>
        <v>0</v>
      </c>
      <c r="Y125" s="161">
        <f t="shared" si="144"/>
        <v>0</v>
      </c>
      <c r="Z125" s="161">
        <f t="shared" si="145"/>
        <v>0</v>
      </c>
      <c r="AA125" s="161">
        <f t="shared" si="146"/>
        <v>0</v>
      </c>
      <c r="AC125" s="168">
        <v>107</v>
      </c>
      <c r="AD125" s="213">
        <f t="shared" ca="1" si="106"/>
        <v>48405</v>
      </c>
      <c r="AE125" s="260">
        <f t="shared" si="125"/>
        <v>0</v>
      </c>
      <c r="AG125" s="233">
        <v>107</v>
      </c>
      <c r="AH125" s="213">
        <f t="shared" ca="1" si="107"/>
        <v>48405</v>
      </c>
      <c r="AI125" s="260">
        <f t="shared" si="103"/>
        <v>0</v>
      </c>
      <c r="AJ125" s="215">
        <f t="shared" ca="1" si="104"/>
        <v>0</v>
      </c>
      <c r="AK125" s="168">
        <v>107</v>
      </c>
      <c r="AL125" s="213">
        <f t="shared" ca="1" si="108"/>
        <v>48405</v>
      </c>
      <c r="AM125" s="260">
        <f t="shared" si="105"/>
        <v>0</v>
      </c>
      <c r="AO125" s="161">
        <v>107</v>
      </c>
      <c r="AP125" s="117">
        <f t="shared" si="147"/>
        <v>0</v>
      </c>
      <c r="AQ125" s="117">
        <f t="shared" si="148"/>
        <v>0</v>
      </c>
      <c r="AR125" s="117">
        <f t="shared" si="149"/>
        <v>0</v>
      </c>
      <c r="AS125" s="161">
        <f t="shared" si="150"/>
        <v>0</v>
      </c>
      <c r="AT125" s="161">
        <f t="shared" si="151"/>
        <v>0</v>
      </c>
      <c r="AU125" s="161">
        <f t="shared" si="152"/>
        <v>0</v>
      </c>
      <c r="AV125" s="161">
        <f t="shared" si="153"/>
        <v>0</v>
      </c>
      <c r="AW125" s="161">
        <f t="shared" si="154"/>
        <v>0</v>
      </c>
      <c r="AX125" s="161">
        <f t="shared" si="155"/>
        <v>0</v>
      </c>
      <c r="AY125" s="161">
        <f t="shared" si="156"/>
        <v>0</v>
      </c>
      <c r="BD125" s="186" t="str">
        <f t="shared" si="157"/>
        <v>2PREF FORTALEZA</v>
      </c>
      <c r="BE125" s="186">
        <f t="shared" si="158"/>
        <v>2</v>
      </c>
      <c r="BF125" s="209" t="str">
        <f>'Base tabelas'!A104</f>
        <v>PREF FORTALEZA</v>
      </c>
      <c r="BG125" s="209" t="str">
        <f>'Base tabelas'!B104</f>
        <v>765121 - Tabela 2</v>
      </c>
      <c r="BH125" s="209">
        <f>'Base tabelas'!C104</f>
        <v>2.2400000000000003E-2</v>
      </c>
      <c r="BI125" s="209">
        <f>'Base tabelas'!D104</f>
        <v>120</v>
      </c>
      <c r="BJ125" s="209" t="str">
        <f>'Base tabelas'!E104</f>
        <v/>
      </c>
      <c r="BK125" s="209">
        <f>'Base tabelas'!F104</f>
        <v>2.34</v>
      </c>
      <c r="BL125" s="209">
        <f>'Base tabelas'!G104</f>
        <v>10</v>
      </c>
      <c r="BM125" s="209">
        <f>'Base tabelas'!H104</f>
        <v>53</v>
      </c>
      <c r="BN125" s="209" t="str">
        <f>'Base tabelas'!I104</f>
        <v>RFN - PREF FORTALEZA DIG PORTABILIDADE 2</v>
      </c>
      <c r="BO125" s="209" t="str">
        <f>'Base tabelas'!J104</f>
        <v>1,29</v>
      </c>
      <c r="BP125" s="209">
        <f>'Base tabelas'!K104</f>
        <v>1.29E-2</v>
      </c>
      <c r="BQ125" s="277">
        <f t="shared" si="122"/>
        <v>2.523946521678069E-2</v>
      </c>
      <c r="BR125" s="278">
        <f t="shared" si="123"/>
        <v>2.3399999999999997E-2</v>
      </c>
      <c r="BS125" s="279">
        <v>2.9999999999999997E-4</v>
      </c>
    </row>
    <row r="126" spans="3:71" hidden="1" x14ac:dyDescent="0.25">
      <c r="C126">
        <v>77</v>
      </c>
      <c r="D126" s="10">
        <f t="shared" ca="1" si="137"/>
        <v>47493</v>
      </c>
      <c r="E126" s="14">
        <f t="shared" si="159"/>
        <v>0</v>
      </c>
      <c r="F126" s="14">
        <f t="shared" si="159"/>
        <v>0</v>
      </c>
      <c r="G126" s="14">
        <f t="shared" si="159"/>
        <v>0</v>
      </c>
      <c r="H126" s="14">
        <f t="shared" si="159"/>
        <v>0</v>
      </c>
      <c r="I126" s="14">
        <f t="shared" si="159"/>
        <v>0</v>
      </c>
      <c r="J126" s="14">
        <f t="shared" si="159"/>
        <v>0</v>
      </c>
      <c r="K126" s="14">
        <f t="shared" si="159"/>
        <v>0</v>
      </c>
      <c r="L126" s="14">
        <f t="shared" si="159"/>
        <v>0</v>
      </c>
      <c r="M126" s="14">
        <f t="shared" si="159"/>
        <v>0</v>
      </c>
      <c r="N126" s="14">
        <f t="shared" si="159"/>
        <v>0</v>
      </c>
      <c r="O126" s="224"/>
      <c r="Q126" s="161">
        <v>108</v>
      </c>
      <c r="R126" s="161">
        <f t="shared" si="111"/>
        <v>0</v>
      </c>
      <c r="S126" s="161">
        <f t="shared" si="138"/>
        <v>0</v>
      </c>
      <c r="T126" s="161">
        <f t="shared" si="139"/>
        <v>0</v>
      </c>
      <c r="U126" s="161">
        <f t="shared" si="140"/>
        <v>0</v>
      </c>
      <c r="V126" s="161">
        <f t="shared" si="141"/>
        <v>0</v>
      </c>
      <c r="W126" s="161">
        <f t="shared" si="142"/>
        <v>0</v>
      </c>
      <c r="X126" s="161">
        <f t="shared" si="143"/>
        <v>0</v>
      </c>
      <c r="Y126" s="161">
        <f t="shared" si="144"/>
        <v>0</v>
      </c>
      <c r="Z126" s="161">
        <f t="shared" si="145"/>
        <v>0</v>
      </c>
      <c r="AA126" s="161">
        <f t="shared" si="146"/>
        <v>0</v>
      </c>
      <c r="AC126" s="168">
        <v>108</v>
      </c>
      <c r="AD126" s="213">
        <f t="shared" ca="1" si="106"/>
        <v>48436</v>
      </c>
      <c r="AE126" s="260">
        <f t="shared" si="125"/>
        <v>0</v>
      </c>
      <c r="AG126" s="233">
        <v>108</v>
      </c>
      <c r="AH126" s="213">
        <f t="shared" ca="1" si="107"/>
        <v>48436</v>
      </c>
      <c r="AI126" s="260">
        <f t="shared" si="103"/>
        <v>0</v>
      </c>
      <c r="AJ126" s="215">
        <f t="shared" ca="1" si="104"/>
        <v>0</v>
      </c>
      <c r="AK126" s="168">
        <v>108</v>
      </c>
      <c r="AL126" s="213">
        <f t="shared" ca="1" si="108"/>
        <v>48436</v>
      </c>
      <c r="AM126" s="260">
        <f t="shared" si="105"/>
        <v>0</v>
      </c>
      <c r="AO126" s="161">
        <v>108</v>
      </c>
      <c r="AP126" s="117">
        <f t="shared" si="147"/>
        <v>0</v>
      </c>
      <c r="AQ126" s="117">
        <f t="shared" si="148"/>
        <v>0</v>
      </c>
      <c r="AR126" s="117">
        <f t="shared" si="149"/>
        <v>0</v>
      </c>
      <c r="AS126" s="161">
        <f t="shared" si="150"/>
        <v>0</v>
      </c>
      <c r="AT126" s="161">
        <f t="shared" si="151"/>
        <v>0</v>
      </c>
      <c r="AU126" s="161">
        <f t="shared" si="152"/>
        <v>0</v>
      </c>
      <c r="AV126" s="161">
        <f t="shared" si="153"/>
        <v>0</v>
      </c>
      <c r="AW126" s="161">
        <f t="shared" si="154"/>
        <v>0</v>
      </c>
      <c r="AX126" s="161">
        <f t="shared" si="155"/>
        <v>0</v>
      </c>
      <c r="AY126" s="161">
        <f t="shared" si="156"/>
        <v>0</v>
      </c>
      <c r="BD126" s="186" t="str">
        <f t="shared" si="157"/>
        <v>3PREF FORTALEZA</v>
      </c>
      <c r="BE126" s="186">
        <f t="shared" si="158"/>
        <v>3</v>
      </c>
      <c r="BF126" s="209" t="str">
        <f>'Base tabelas'!A105</f>
        <v>PREF FORTALEZA</v>
      </c>
      <c r="BG126" s="209" t="str">
        <f>'Base tabelas'!B105</f>
        <v>765122 - Tabela 3</v>
      </c>
      <c r="BH126" s="209">
        <f>'Base tabelas'!C105</f>
        <v>2.1400000000000002E-2</v>
      </c>
      <c r="BI126" s="209">
        <f>'Base tabelas'!D105</f>
        <v>120</v>
      </c>
      <c r="BJ126" s="209" t="str">
        <f>'Base tabelas'!E105</f>
        <v/>
      </c>
      <c r="BK126" s="209">
        <f>'Base tabelas'!F105</f>
        <v>2.34</v>
      </c>
      <c r="BL126" s="209">
        <f>'Base tabelas'!G105</f>
        <v>10</v>
      </c>
      <c r="BM126" s="209">
        <f>'Base tabelas'!H105</f>
        <v>35</v>
      </c>
      <c r="BN126" s="209" t="str">
        <f>'Base tabelas'!I105</f>
        <v>RFN - PREF FORTALEZA DIG PORTABILIDADE 3</v>
      </c>
      <c r="BO126" s="209" t="str">
        <f>'Base tabelas'!J105</f>
        <v>1,29</v>
      </c>
      <c r="BP126" s="209">
        <f>'Base tabelas'!K105</f>
        <v>1.29E-2</v>
      </c>
      <c r="BQ126" s="277">
        <f t="shared" si="122"/>
        <v>2.4015903785257243E-2</v>
      </c>
      <c r="BR126" s="278">
        <f t="shared" si="123"/>
        <v>2.3399999999999997E-2</v>
      </c>
      <c r="BS126" s="279">
        <v>2.9999999999999997E-4</v>
      </c>
    </row>
    <row r="127" spans="3:71" hidden="1" x14ac:dyDescent="0.25">
      <c r="C127">
        <v>78</v>
      </c>
      <c r="D127" s="10">
        <f t="shared" ca="1" si="137"/>
        <v>47524</v>
      </c>
      <c r="E127" s="14">
        <f t="shared" si="159"/>
        <v>0</v>
      </c>
      <c r="F127" s="14">
        <f t="shared" si="159"/>
        <v>0</v>
      </c>
      <c r="G127" s="14">
        <f t="shared" si="159"/>
        <v>0</v>
      </c>
      <c r="H127" s="14">
        <f t="shared" si="159"/>
        <v>0</v>
      </c>
      <c r="I127" s="14">
        <f t="shared" si="159"/>
        <v>0</v>
      </c>
      <c r="J127" s="14">
        <f t="shared" si="159"/>
        <v>0</v>
      </c>
      <c r="K127" s="14">
        <f t="shared" si="159"/>
        <v>0</v>
      </c>
      <c r="L127" s="14">
        <f t="shared" si="159"/>
        <v>0</v>
      </c>
      <c r="M127" s="14">
        <f t="shared" si="159"/>
        <v>0</v>
      </c>
      <c r="N127" s="14">
        <f t="shared" si="159"/>
        <v>0</v>
      </c>
      <c r="O127" s="224"/>
      <c r="Q127" s="161">
        <v>109</v>
      </c>
      <c r="R127" s="161">
        <f t="shared" si="111"/>
        <v>0</v>
      </c>
      <c r="S127" s="161">
        <f t="shared" si="138"/>
        <v>0</v>
      </c>
      <c r="T127" s="161">
        <f t="shared" si="139"/>
        <v>0</v>
      </c>
      <c r="U127" s="161">
        <f t="shared" si="140"/>
        <v>0</v>
      </c>
      <c r="V127" s="161">
        <f t="shared" si="141"/>
        <v>0</v>
      </c>
      <c r="W127" s="161">
        <f t="shared" si="142"/>
        <v>0</v>
      </c>
      <c r="X127" s="161">
        <f t="shared" si="143"/>
        <v>0</v>
      </c>
      <c r="Y127" s="161">
        <f t="shared" si="144"/>
        <v>0</v>
      </c>
      <c r="Z127" s="161">
        <f t="shared" si="145"/>
        <v>0</v>
      </c>
      <c r="AA127" s="161">
        <f t="shared" si="146"/>
        <v>0</v>
      </c>
      <c r="AC127" s="168">
        <v>109</v>
      </c>
      <c r="AD127" s="213">
        <f t="shared" ca="1" si="106"/>
        <v>48467</v>
      </c>
      <c r="AE127" s="260">
        <f t="shared" si="125"/>
        <v>0</v>
      </c>
      <c r="AG127" s="233">
        <v>109</v>
      </c>
      <c r="AH127" s="213">
        <f t="shared" ca="1" si="107"/>
        <v>48467</v>
      </c>
      <c r="AI127" s="260">
        <f t="shared" si="103"/>
        <v>0</v>
      </c>
      <c r="AJ127" s="215">
        <f t="shared" ca="1" si="104"/>
        <v>0</v>
      </c>
      <c r="AK127" s="168">
        <v>109</v>
      </c>
      <c r="AL127" s="213">
        <f t="shared" ca="1" si="108"/>
        <v>48467</v>
      </c>
      <c r="AM127" s="260">
        <f t="shared" si="105"/>
        <v>0</v>
      </c>
      <c r="AO127" s="161">
        <v>109</v>
      </c>
      <c r="AP127" s="117">
        <f t="shared" si="147"/>
        <v>0</v>
      </c>
      <c r="AQ127" s="117">
        <f t="shared" si="148"/>
        <v>0</v>
      </c>
      <c r="AR127" s="117">
        <f t="shared" si="149"/>
        <v>0</v>
      </c>
      <c r="AS127" s="161">
        <f t="shared" si="150"/>
        <v>0</v>
      </c>
      <c r="AT127" s="161">
        <f t="shared" si="151"/>
        <v>0</v>
      </c>
      <c r="AU127" s="161">
        <f t="shared" si="152"/>
        <v>0</v>
      </c>
      <c r="AV127" s="161">
        <f t="shared" si="153"/>
        <v>0</v>
      </c>
      <c r="AW127" s="161">
        <f t="shared" si="154"/>
        <v>0</v>
      </c>
      <c r="AX127" s="161">
        <f t="shared" si="155"/>
        <v>0</v>
      </c>
      <c r="AY127" s="161">
        <f t="shared" si="156"/>
        <v>0</v>
      </c>
      <c r="BD127" s="186" t="str">
        <f t="shared" si="157"/>
        <v>4PREF FORTALEZA</v>
      </c>
      <c r="BE127" s="186">
        <f t="shared" si="158"/>
        <v>4</v>
      </c>
      <c r="BF127" s="209" t="str">
        <f>'Base tabelas'!A106</f>
        <v>PREF FORTALEZA</v>
      </c>
      <c r="BG127" s="209" t="str">
        <f>'Base tabelas'!B106</f>
        <v>765123 - Tabela 4</v>
      </c>
      <c r="BH127" s="209">
        <f>'Base tabelas'!C106</f>
        <v>2.0400000000000001E-2</v>
      </c>
      <c r="BI127" s="209">
        <f>'Base tabelas'!D106</f>
        <v>120</v>
      </c>
      <c r="BJ127" s="209" t="str">
        <f>'Base tabelas'!E106</f>
        <v/>
      </c>
      <c r="BK127" s="209">
        <f>'Base tabelas'!F106</f>
        <v>2.34</v>
      </c>
      <c r="BL127" s="209">
        <f>'Base tabelas'!G106</f>
        <v>10</v>
      </c>
      <c r="BM127" s="209">
        <f>'Base tabelas'!H106</f>
        <v>34</v>
      </c>
      <c r="BN127" s="209" t="str">
        <f>'Base tabelas'!I106</f>
        <v>RFN - PREF FORTALEZA DIG PORTABILIDADE 4</v>
      </c>
      <c r="BO127" s="209" t="str">
        <f>'Base tabelas'!J106</f>
        <v>1,29</v>
      </c>
      <c r="BP127" s="209">
        <f>'Base tabelas'!K106</f>
        <v>1.29E-2</v>
      </c>
      <c r="BQ127" s="277">
        <f t="shared" si="122"/>
        <v>2.3121199028013441E-2</v>
      </c>
      <c r="BR127" s="278">
        <f t="shared" si="123"/>
        <v>2.3399999999999997E-2</v>
      </c>
      <c r="BS127" s="279">
        <v>2.9999999999999997E-4</v>
      </c>
    </row>
    <row r="128" spans="3:71" hidden="1" x14ac:dyDescent="0.25">
      <c r="C128">
        <v>79</v>
      </c>
      <c r="D128" s="10">
        <f t="shared" ca="1" si="137"/>
        <v>47552</v>
      </c>
      <c r="E128" s="14">
        <f t="shared" si="159"/>
        <v>0</v>
      </c>
      <c r="F128" s="14">
        <f t="shared" si="159"/>
        <v>0</v>
      </c>
      <c r="G128" s="14">
        <f t="shared" si="159"/>
        <v>0</v>
      </c>
      <c r="H128" s="14">
        <f t="shared" si="159"/>
        <v>0</v>
      </c>
      <c r="I128" s="14">
        <f t="shared" si="159"/>
        <v>0</v>
      </c>
      <c r="J128" s="14">
        <f t="shared" si="159"/>
        <v>0</v>
      </c>
      <c r="K128" s="14">
        <f t="shared" si="159"/>
        <v>0</v>
      </c>
      <c r="L128" s="14">
        <f t="shared" si="159"/>
        <v>0</v>
      </c>
      <c r="M128" s="14">
        <f t="shared" si="159"/>
        <v>0</v>
      </c>
      <c r="N128" s="14">
        <f t="shared" si="159"/>
        <v>0</v>
      </c>
      <c r="O128" s="224"/>
      <c r="Q128" s="161">
        <v>110</v>
      </c>
      <c r="R128" s="161">
        <f t="shared" si="111"/>
        <v>0</v>
      </c>
      <c r="S128" s="161">
        <f t="shared" si="138"/>
        <v>0</v>
      </c>
      <c r="T128" s="161">
        <f t="shared" si="139"/>
        <v>0</v>
      </c>
      <c r="U128" s="161">
        <f t="shared" si="140"/>
        <v>0</v>
      </c>
      <c r="V128" s="161">
        <f t="shared" si="141"/>
        <v>0</v>
      </c>
      <c r="W128" s="161">
        <f t="shared" si="142"/>
        <v>0</v>
      </c>
      <c r="X128" s="161">
        <f t="shared" si="143"/>
        <v>0</v>
      </c>
      <c r="Y128" s="161">
        <f t="shared" si="144"/>
        <v>0</v>
      </c>
      <c r="Z128" s="161">
        <f t="shared" si="145"/>
        <v>0</v>
      </c>
      <c r="AA128" s="161">
        <f t="shared" si="146"/>
        <v>0</v>
      </c>
      <c r="AC128" s="168">
        <v>110</v>
      </c>
      <c r="AD128" s="213">
        <f t="shared" ca="1" si="106"/>
        <v>48497</v>
      </c>
      <c r="AE128" s="260">
        <f t="shared" si="125"/>
        <v>0</v>
      </c>
      <c r="AG128" s="233">
        <v>110</v>
      </c>
      <c r="AH128" s="213">
        <f t="shared" ca="1" si="107"/>
        <v>48497</v>
      </c>
      <c r="AI128" s="260">
        <f t="shared" si="103"/>
        <v>0</v>
      </c>
      <c r="AJ128" s="215">
        <f t="shared" ca="1" si="104"/>
        <v>0</v>
      </c>
      <c r="AK128" s="168">
        <v>110</v>
      </c>
      <c r="AL128" s="213">
        <f t="shared" ca="1" si="108"/>
        <v>48497</v>
      </c>
      <c r="AM128" s="260">
        <f t="shared" si="105"/>
        <v>0</v>
      </c>
      <c r="AO128" s="161">
        <v>110</v>
      </c>
      <c r="AP128" s="117">
        <f t="shared" si="147"/>
        <v>0</v>
      </c>
      <c r="AQ128" s="117">
        <f t="shared" si="148"/>
        <v>0</v>
      </c>
      <c r="AR128" s="117">
        <f t="shared" si="149"/>
        <v>0</v>
      </c>
      <c r="AS128" s="161">
        <f t="shared" si="150"/>
        <v>0</v>
      </c>
      <c r="AT128" s="161">
        <f t="shared" si="151"/>
        <v>0</v>
      </c>
      <c r="AU128" s="161">
        <f t="shared" si="152"/>
        <v>0</v>
      </c>
      <c r="AV128" s="161">
        <f t="shared" si="153"/>
        <v>0</v>
      </c>
      <c r="AW128" s="161">
        <f t="shared" si="154"/>
        <v>0</v>
      </c>
      <c r="AX128" s="161">
        <f t="shared" si="155"/>
        <v>0</v>
      </c>
      <c r="AY128" s="161">
        <f t="shared" si="156"/>
        <v>0</v>
      </c>
      <c r="BD128" s="186" t="str">
        <f t="shared" si="157"/>
        <v>5PREF FORTALEZA</v>
      </c>
      <c r="BE128" s="186">
        <f t="shared" si="158"/>
        <v>5</v>
      </c>
      <c r="BF128" s="209" t="str">
        <f>'Base tabelas'!A107</f>
        <v>PREF FORTALEZA</v>
      </c>
      <c r="BG128" s="209" t="str">
        <f>'Base tabelas'!B107</f>
        <v>765134 - Tabela 5</v>
      </c>
      <c r="BH128" s="209">
        <f>'Base tabelas'!C107</f>
        <v>1.9400000000000001E-2</v>
      </c>
      <c r="BI128" s="209">
        <f>'Base tabelas'!D107</f>
        <v>120</v>
      </c>
      <c r="BJ128" s="209" t="str">
        <f>'Base tabelas'!E107</f>
        <v/>
      </c>
      <c r="BK128" s="209">
        <f>'Base tabelas'!F107</f>
        <v>2.34</v>
      </c>
      <c r="BL128" s="209">
        <f>'Base tabelas'!G107</f>
        <v>10</v>
      </c>
      <c r="BM128" s="209">
        <f>'Base tabelas'!H107</f>
        <v>43</v>
      </c>
      <c r="BN128" s="209" t="str">
        <f>'Base tabelas'!I107</f>
        <v>RFN - PREF FORTALEZA DIG PORTABILIDADE 5</v>
      </c>
      <c r="BO128" s="209" t="str">
        <f>'Base tabelas'!J107</f>
        <v>1,29</v>
      </c>
      <c r="BP128" s="209">
        <f>'Base tabelas'!K107</f>
        <v>1.29E-2</v>
      </c>
      <c r="BQ128" s="277">
        <f t="shared" si="122"/>
        <v>2.2383797773615384E-2</v>
      </c>
      <c r="BR128" s="278">
        <f t="shared" si="123"/>
        <v>2.3399999999999997E-2</v>
      </c>
      <c r="BS128" s="279">
        <v>2.9999999999999997E-4</v>
      </c>
    </row>
    <row r="129" spans="3:71" hidden="1" x14ac:dyDescent="0.25">
      <c r="C129">
        <v>80</v>
      </c>
      <c r="D129" s="10">
        <f t="shared" ca="1" si="137"/>
        <v>47583</v>
      </c>
      <c r="E129" s="14">
        <f t="shared" si="159"/>
        <v>0</v>
      </c>
      <c r="F129" s="14">
        <f t="shared" si="159"/>
        <v>0</v>
      </c>
      <c r="G129" s="14">
        <f t="shared" si="159"/>
        <v>0</v>
      </c>
      <c r="H129" s="14">
        <f t="shared" si="159"/>
        <v>0</v>
      </c>
      <c r="I129" s="14">
        <f t="shared" si="159"/>
        <v>0</v>
      </c>
      <c r="J129" s="14">
        <f t="shared" si="159"/>
        <v>0</v>
      </c>
      <c r="K129" s="14">
        <f t="shared" si="159"/>
        <v>0</v>
      </c>
      <c r="L129" s="14">
        <f t="shared" si="159"/>
        <v>0</v>
      </c>
      <c r="M129" s="14">
        <f t="shared" si="159"/>
        <v>0</v>
      </c>
      <c r="N129" s="14">
        <f t="shared" si="159"/>
        <v>0</v>
      </c>
      <c r="O129" s="224"/>
      <c r="Q129" s="161">
        <v>111</v>
      </c>
      <c r="R129" s="161">
        <f t="shared" si="111"/>
        <v>0</v>
      </c>
      <c r="S129" s="161">
        <f t="shared" si="138"/>
        <v>0</v>
      </c>
      <c r="T129" s="161">
        <f t="shared" si="139"/>
        <v>0</v>
      </c>
      <c r="U129" s="161">
        <f t="shared" si="140"/>
        <v>0</v>
      </c>
      <c r="V129" s="161">
        <f t="shared" si="141"/>
        <v>0</v>
      </c>
      <c r="W129" s="161">
        <f t="shared" si="142"/>
        <v>0</v>
      </c>
      <c r="X129" s="161">
        <f t="shared" si="143"/>
        <v>0</v>
      </c>
      <c r="Y129" s="161">
        <f t="shared" si="144"/>
        <v>0</v>
      </c>
      <c r="Z129" s="161">
        <f t="shared" si="145"/>
        <v>0</v>
      </c>
      <c r="AA129" s="161">
        <f t="shared" si="146"/>
        <v>0</v>
      </c>
      <c r="AC129" s="168">
        <v>111</v>
      </c>
      <c r="AD129" s="213">
        <f t="shared" ca="1" si="106"/>
        <v>48528</v>
      </c>
      <c r="AE129" s="260">
        <f t="shared" si="125"/>
        <v>0</v>
      </c>
      <c r="AG129" s="233">
        <v>111</v>
      </c>
      <c r="AH129" s="213">
        <f t="shared" ca="1" si="107"/>
        <v>48528</v>
      </c>
      <c r="AI129" s="260">
        <f t="shared" si="103"/>
        <v>0</v>
      </c>
      <c r="AJ129" s="215">
        <f t="shared" ca="1" si="104"/>
        <v>0</v>
      </c>
      <c r="AK129" s="168">
        <v>111</v>
      </c>
      <c r="AL129" s="213">
        <f t="shared" ca="1" si="108"/>
        <v>48528</v>
      </c>
      <c r="AM129" s="260">
        <f t="shared" si="105"/>
        <v>0</v>
      </c>
      <c r="AO129" s="161">
        <v>111</v>
      </c>
      <c r="AP129" s="117">
        <f t="shared" si="147"/>
        <v>0</v>
      </c>
      <c r="AQ129" s="117">
        <f t="shared" si="148"/>
        <v>0</v>
      </c>
      <c r="AR129" s="117">
        <f t="shared" si="149"/>
        <v>0</v>
      </c>
      <c r="AS129" s="161">
        <f t="shared" si="150"/>
        <v>0</v>
      </c>
      <c r="AT129" s="161">
        <f t="shared" si="151"/>
        <v>0</v>
      </c>
      <c r="AU129" s="161">
        <f t="shared" si="152"/>
        <v>0</v>
      </c>
      <c r="AV129" s="161">
        <f t="shared" si="153"/>
        <v>0</v>
      </c>
      <c r="AW129" s="161">
        <f t="shared" si="154"/>
        <v>0</v>
      </c>
      <c r="AX129" s="161">
        <f t="shared" si="155"/>
        <v>0</v>
      </c>
      <c r="AY129" s="161">
        <f t="shared" si="156"/>
        <v>0</v>
      </c>
      <c r="BD129" s="186" t="str">
        <f t="shared" si="157"/>
        <v>6PREF FORTALEZA</v>
      </c>
      <c r="BE129" s="186">
        <f t="shared" si="158"/>
        <v>6</v>
      </c>
      <c r="BF129" s="209" t="str">
        <f>'Base tabelas'!A108</f>
        <v>PREF FORTALEZA</v>
      </c>
      <c r="BG129" s="209" t="str">
        <f>'Base tabelas'!B108</f>
        <v>765135 - Tabela 6</v>
      </c>
      <c r="BH129" s="209">
        <f>'Base tabelas'!C108</f>
        <v>1.84E-2</v>
      </c>
      <c r="BI129" s="209">
        <f>'Base tabelas'!D108</f>
        <v>120</v>
      </c>
      <c r="BJ129" s="209" t="str">
        <f>'Base tabelas'!E108</f>
        <v/>
      </c>
      <c r="BK129" s="209">
        <f>'Base tabelas'!F108</f>
        <v>2.34</v>
      </c>
      <c r="BL129" s="209">
        <f>'Base tabelas'!G108</f>
        <v>10</v>
      </c>
      <c r="BM129" s="209">
        <f>'Base tabelas'!H108</f>
        <v>44</v>
      </c>
      <c r="BN129" s="209" t="str">
        <f>'Base tabelas'!I108</f>
        <v>RFN - PREF FORTALEZA DIG PORTABILIDADE 6</v>
      </c>
      <c r="BO129" s="209" t="str">
        <f>'Base tabelas'!J108</f>
        <v>1,29</v>
      </c>
      <c r="BP129" s="209">
        <f>'Base tabelas'!K108</f>
        <v>1.29E-2</v>
      </c>
      <c r="BQ129" s="277">
        <f t="shared" si="122"/>
        <v>2.1531862306339012E-2</v>
      </c>
      <c r="BR129" s="278">
        <f t="shared" si="123"/>
        <v>2.3399999999999997E-2</v>
      </c>
      <c r="BS129" s="279">
        <v>2.9999999999999997E-4</v>
      </c>
    </row>
    <row r="130" spans="3:71" hidden="1" x14ac:dyDescent="0.25">
      <c r="C130">
        <v>81</v>
      </c>
      <c r="D130" s="10">
        <f t="shared" ca="1" si="137"/>
        <v>47613</v>
      </c>
      <c r="E130" s="14">
        <f t="shared" ref="E130:N139" si="160">IF($C130&lt;=E$17,E$18/(($D$48+1)^(($D130-$D$49)/30)),0)</f>
        <v>0</v>
      </c>
      <c r="F130" s="14">
        <f t="shared" si="160"/>
        <v>0</v>
      </c>
      <c r="G130" s="14">
        <f t="shared" si="160"/>
        <v>0</v>
      </c>
      <c r="H130" s="14">
        <f t="shared" si="160"/>
        <v>0</v>
      </c>
      <c r="I130" s="14">
        <f t="shared" si="160"/>
        <v>0</v>
      </c>
      <c r="J130" s="14">
        <f t="shared" si="160"/>
        <v>0</v>
      </c>
      <c r="K130" s="14">
        <f t="shared" si="160"/>
        <v>0</v>
      </c>
      <c r="L130" s="14">
        <f t="shared" si="160"/>
        <v>0</v>
      </c>
      <c r="M130" s="14">
        <f t="shared" si="160"/>
        <v>0</v>
      </c>
      <c r="N130" s="14">
        <f t="shared" si="160"/>
        <v>0</v>
      </c>
      <c r="O130" s="224"/>
      <c r="Q130" s="161">
        <v>112</v>
      </c>
      <c r="R130" s="161">
        <f t="shared" si="111"/>
        <v>0</v>
      </c>
      <c r="S130" s="161">
        <f t="shared" si="138"/>
        <v>0</v>
      </c>
      <c r="T130" s="161">
        <f t="shared" si="139"/>
        <v>0</v>
      </c>
      <c r="U130" s="161">
        <f t="shared" si="140"/>
        <v>0</v>
      </c>
      <c r="V130" s="161">
        <f t="shared" si="141"/>
        <v>0</v>
      </c>
      <c r="W130" s="161">
        <f t="shared" si="142"/>
        <v>0</v>
      </c>
      <c r="X130" s="161">
        <f t="shared" si="143"/>
        <v>0</v>
      </c>
      <c r="Y130" s="161">
        <f t="shared" si="144"/>
        <v>0</v>
      </c>
      <c r="Z130" s="161">
        <f t="shared" si="145"/>
        <v>0</v>
      </c>
      <c r="AA130" s="161">
        <f t="shared" si="146"/>
        <v>0</v>
      </c>
      <c r="AC130" s="168">
        <v>112</v>
      </c>
      <c r="AD130" s="213">
        <f t="shared" ca="1" si="106"/>
        <v>48558</v>
      </c>
      <c r="AE130" s="260">
        <f t="shared" si="125"/>
        <v>0</v>
      </c>
      <c r="AG130" s="233">
        <v>112</v>
      </c>
      <c r="AH130" s="213">
        <f t="shared" ca="1" si="107"/>
        <v>48558</v>
      </c>
      <c r="AI130" s="260">
        <f t="shared" si="103"/>
        <v>0</v>
      </c>
      <c r="AJ130" s="215">
        <f t="shared" ca="1" si="104"/>
        <v>0</v>
      </c>
      <c r="AK130" s="168">
        <v>112</v>
      </c>
      <c r="AL130" s="213">
        <f t="shared" ca="1" si="108"/>
        <v>48558</v>
      </c>
      <c r="AM130" s="260">
        <f t="shared" si="105"/>
        <v>0</v>
      </c>
      <c r="AO130" s="161">
        <v>112</v>
      </c>
      <c r="AP130" s="117">
        <f t="shared" si="147"/>
        <v>0</v>
      </c>
      <c r="AQ130" s="117">
        <f t="shared" si="148"/>
        <v>0</v>
      </c>
      <c r="AR130" s="117">
        <f t="shared" si="149"/>
        <v>0</v>
      </c>
      <c r="AS130" s="161">
        <f t="shared" si="150"/>
        <v>0</v>
      </c>
      <c r="AT130" s="161">
        <f t="shared" si="151"/>
        <v>0</v>
      </c>
      <c r="AU130" s="161">
        <f t="shared" si="152"/>
        <v>0</v>
      </c>
      <c r="AV130" s="161">
        <f t="shared" si="153"/>
        <v>0</v>
      </c>
      <c r="AW130" s="161">
        <f t="shared" si="154"/>
        <v>0</v>
      </c>
      <c r="AX130" s="161">
        <f t="shared" si="155"/>
        <v>0</v>
      </c>
      <c r="AY130" s="161">
        <f t="shared" si="156"/>
        <v>0</v>
      </c>
      <c r="BD130" s="186" t="str">
        <f t="shared" si="157"/>
        <v>1PREF GOIANIA</v>
      </c>
      <c r="BE130" s="186">
        <f t="shared" si="158"/>
        <v>1</v>
      </c>
      <c r="BF130" s="209" t="str">
        <f>'Base tabelas'!A109</f>
        <v>PREF GOIANIA</v>
      </c>
      <c r="BG130" s="209" t="str">
        <f>'Base tabelas'!B109</f>
        <v>745407 - Tabela 1</v>
      </c>
      <c r="BH130" s="209">
        <f>'Base tabelas'!C109</f>
        <v>2.4500000000000001E-2</v>
      </c>
      <c r="BI130" s="209">
        <f>'Base tabelas'!D109</f>
        <v>96</v>
      </c>
      <c r="BJ130" s="209" t="str">
        <f>'Base tabelas'!E109</f>
        <v/>
      </c>
      <c r="BK130" s="209">
        <f>'Base tabelas'!F109</f>
        <v>2.4500000000000002</v>
      </c>
      <c r="BL130" s="209">
        <f>'Base tabelas'!G109</f>
        <v>25</v>
      </c>
      <c r="BM130" s="209">
        <f>'Base tabelas'!H109</f>
        <v>64</v>
      </c>
      <c r="BN130" s="209" t="str">
        <f>'Base tabelas'!I109</f>
        <v>RFN - PREF GOIANIA DIG PORTABILIDADE 1</v>
      </c>
      <c r="BO130" s="209" t="str">
        <f>'Base tabelas'!J109</f>
        <v>2,2</v>
      </c>
      <c r="BP130" s="209">
        <f>'Base tabelas'!K109</f>
        <v>2.2000000000000002E-2</v>
      </c>
      <c r="BQ130" s="277">
        <f t="shared" si="122"/>
        <v>2.8756851464097715E-2</v>
      </c>
      <c r="BR130" s="278">
        <f t="shared" si="123"/>
        <v>2.4500000000000001E-2</v>
      </c>
      <c r="BS130" s="279">
        <v>2.9999999999999997E-4</v>
      </c>
    </row>
    <row r="131" spans="3:71" hidden="1" x14ac:dyDescent="0.25">
      <c r="C131">
        <v>82</v>
      </c>
      <c r="D131" s="10">
        <f t="shared" ca="1" si="137"/>
        <v>47644</v>
      </c>
      <c r="E131" s="14">
        <f t="shared" si="160"/>
        <v>0</v>
      </c>
      <c r="F131" s="14">
        <f t="shared" si="160"/>
        <v>0</v>
      </c>
      <c r="G131" s="14">
        <f t="shared" si="160"/>
        <v>0</v>
      </c>
      <c r="H131" s="14">
        <f t="shared" si="160"/>
        <v>0</v>
      </c>
      <c r="I131" s="14">
        <f t="shared" si="160"/>
        <v>0</v>
      </c>
      <c r="J131" s="14">
        <f t="shared" si="160"/>
        <v>0</v>
      </c>
      <c r="K131" s="14">
        <f t="shared" si="160"/>
        <v>0</v>
      </c>
      <c r="L131" s="14">
        <f t="shared" si="160"/>
        <v>0</v>
      </c>
      <c r="M131" s="14">
        <f t="shared" si="160"/>
        <v>0</v>
      </c>
      <c r="N131" s="14">
        <f t="shared" si="160"/>
        <v>0</v>
      </c>
      <c r="O131" s="224"/>
      <c r="Q131" s="161">
        <v>113</v>
      </c>
      <c r="R131" s="161">
        <f t="shared" si="111"/>
        <v>0</v>
      </c>
      <c r="S131" s="161">
        <f t="shared" si="138"/>
        <v>0</v>
      </c>
      <c r="T131" s="161">
        <f t="shared" si="139"/>
        <v>0</v>
      </c>
      <c r="U131" s="161">
        <f t="shared" si="140"/>
        <v>0</v>
      </c>
      <c r="V131" s="161">
        <f t="shared" si="141"/>
        <v>0</v>
      </c>
      <c r="W131" s="161">
        <f t="shared" si="142"/>
        <v>0</v>
      </c>
      <c r="X131" s="161">
        <f t="shared" si="143"/>
        <v>0</v>
      </c>
      <c r="Y131" s="161">
        <f t="shared" si="144"/>
        <v>0</v>
      </c>
      <c r="Z131" s="161">
        <f t="shared" si="145"/>
        <v>0</v>
      </c>
      <c r="AA131" s="161">
        <f t="shared" si="146"/>
        <v>0</v>
      </c>
      <c r="AC131" s="168">
        <v>113</v>
      </c>
      <c r="AD131" s="213">
        <f t="shared" ca="1" si="106"/>
        <v>48589</v>
      </c>
      <c r="AE131" s="260">
        <f t="shared" si="125"/>
        <v>0</v>
      </c>
      <c r="AG131" s="233">
        <v>113</v>
      </c>
      <c r="AH131" s="213">
        <f t="shared" ca="1" si="107"/>
        <v>48589</v>
      </c>
      <c r="AI131" s="260">
        <f t="shared" si="103"/>
        <v>0</v>
      </c>
      <c r="AJ131" s="215">
        <f t="shared" ca="1" si="104"/>
        <v>0</v>
      </c>
      <c r="AK131" s="168">
        <v>113</v>
      </c>
      <c r="AL131" s="213">
        <f t="shared" ca="1" si="108"/>
        <v>48589</v>
      </c>
      <c r="AM131" s="260">
        <f t="shared" si="105"/>
        <v>0</v>
      </c>
      <c r="AO131" s="161">
        <v>113</v>
      </c>
      <c r="AP131" s="117">
        <f t="shared" si="147"/>
        <v>0</v>
      </c>
      <c r="AQ131" s="117">
        <f t="shared" si="148"/>
        <v>0</v>
      </c>
      <c r="AR131" s="117">
        <f t="shared" si="149"/>
        <v>0</v>
      </c>
      <c r="AS131" s="161">
        <f t="shared" si="150"/>
        <v>0</v>
      </c>
      <c r="AT131" s="161">
        <f t="shared" si="151"/>
        <v>0</v>
      </c>
      <c r="AU131" s="161">
        <f t="shared" si="152"/>
        <v>0</v>
      </c>
      <c r="AV131" s="161">
        <f t="shared" si="153"/>
        <v>0</v>
      </c>
      <c r="AW131" s="161">
        <f t="shared" si="154"/>
        <v>0</v>
      </c>
      <c r="AX131" s="161">
        <f t="shared" si="155"/>
        <v>0</v>
      </c>
      <c r="AY131" s="161">
        <f t="shared" si="156"/>
        <v>0</v>
      </c>
      <c r="BD131" s="186" t="str">
        <f t="shared" si="157"/>
        <v>1PREF GRAVATAI</v>
      </c>
      <c r="BE131" s="186">
        <f t="shared" si="158"/>
        <v>1</v>
      </c>
      <c r="BF131" s="209" t="str">
        <f>'Base tabelas'!A110</f>
        <v>PREF GRAVATAI</v>
      </c>
      <c r="BG131" s="209" t="str">
        <f>'Base tabelas'!B110</f>
        <v>745745 - Tabela 3</v>
      </c>
      <c r="BH131" s="209">
        <f>'Base tabelas'!C110</f>
        <v>2.3E-2</v>
      </c>
      <c r="BI131" s="209">
        <f>'Base tabelas'!D110</f>
        <v>120</v>
      </c>
      <c r="BJ131" s="209" t="str">
        <f>'Base tabelas'!E110</f>
        <v/>
      </c>
      <c r="BK131" s="209">
        <f>'Base tabelas'!F110</f>
        <v>2.6</v>
      </c>
      <c r="BL131" s="209">
        <f>'Base tabelas'!G110</f>
        <v>20</v>
      </c>
      <c r="BM131" s="209">
        <f>'Base tabelas'!H110</f>
        <v>63</v>
      </c>
      <c r="BN131" s="209" t="str">
        <f>'Base tabelas'!I110</f>
        <v>RFN - PREF GRAVATAI DIG PORTAB 3 PLUS</v>
      </c>
      <c r="BO131" s="209" t="str">
        <f>'Base tabelas'!J110</f>
        <v>1,9</v>
      </c>
      <c r="BP131" s="209">
        <f>'Base tabelas'!K110</f>
        <v>1.9E-2</v>
      </c>
      <c r="BQ131" s="277">
        <f t="shared" si="122"/>
        <v>2.5991326302154946E-2</v>
      </c>
      <c r="BR131" s="278">
        <f t="shared" si="123"/>
        <v>2.6000000000000002E-2</v>
      </c>
      <c r="BS131" s="279">
        <v>2.9999999999999997E-4</v>
      </c>
    </row>
    <row r="132" spans="3:71" hidden="1" x14ac:dyDescent="0.25">
      <c r="C132">
        <v>83</v>
      </c>
      <c r="D132" s="10">
        <f t="shared" ca="1" si="137"/>
        <v>47674</v>
      </c>
      <c r="E132" s="14">
        <f t="shared" si="160"/>
        <v>0</v>
      </c>
      <c r="F132" s="14">
        <f t="shared" si="160"/>
        <v>0</v>
      </c>
      <c r="G132" s="14">
        <f t="shared" si="160"/>
        <v>0</v>
      </c>
      <c r="H132" s="14">
        <f t="shared" si="160"/>
        <v>0</v>
      </c>
      <c r="I132" s="14">
        <f t="shared" si="160"/>
        <v>0</v>
      </c>
      <c r="J132" s="14">
        <f t="shared" si="160"/>
        <v>0</v>
      </c>
      <c r="K132" s="14">
        <f t="shared" si="160"/>
        <v>0</v>
      </c>
      <c r="L132" s="14">
        <f t="shared" si="160"/>
        <v>0</v>
      </c>
      <c r="M132" s="14">
        <f t="shared" si="160"/>
        <v>0</v>
      </c>
      <c r="N132" s="14">
        <f t="shared" si="160"/>
        <v>0</v>
      </c>
      <c r="O132" s="224"/>
      <c r="Q132" s="161">
        <v>114</v>
      </c>
      <c r="R132" s="161">
        <f t="shared" si="111"/>
        <v>0</v>
      </c>
      <c r="S132" s="161">
        <f t="shared" si="138"/>
        <v>0</v>
      </c>
      <c r="T132" s="161">
        <f t="shared" si="139"/>
        <v>0</v>
      </c>
      <c r="U132" s="161">
        <f t="shared" si="140"/>
        <v>0</v>
      </c>
      <c r="V132" s="161">
        <f t="shared" si="141"/>
        <v>0</v>
      </c>
      <c r="W132" s="161">
        <f t="shared" si="142"/>
        <v>0</v>
      </c>
      <c r="X132" s="161">
        <f t="shared" si="143"/>
        <v>0</v>
      </c>
      <c r="Y132" s="161">
        <f t="shared" si="144"/>
        <v>0</v>
      </c>
      <c r="Z132" s="161">
        <f t="shared" si="145"/>
        <v>0</v>
      </c>
      <c r="AA132" s="161">
        <f t="shared" si="146"/>
        <v>0</v>
      </c>
      <c r="AC132" s="168">
        <v>114</v>
      </c>
      <c r="AD132" s="213">
        <f t="shared" ca="1" si="106"/>
        <v>48620</v>
      </c>
      <c r="AE132" s="260">
        <f t="shared" si="125"/>
        <v>0</v>
      </c>
      <c r="AG132" s="233">
        <v>114</v>
      </c>
      <c r="AH132" s="213">
        <f t="shared" ca="1" si="107"/>
        <v>48620</v>
      </c>
      <c r="AI132" s="260">
        <f t="shared" si="103"/>
        <v>0</v>
      </c>
      <c r="AJ132" s="215">
        <f t="shared" ca="1" si="104"/>
        <v>0</v>
      </c>
      <c r="AK132" s="168">
        <v>114</v>
      </c>
      <c r="AL132" s="213">
        <f t="shared" ca="1" si="108"/>
        <v>48620</v>
      </c>
      <c r="AM132" s="260">
        <f t="shared" si="105"/>
        <v>0</v>
      </c>
      <c r="AO132" s="161">
        <v>114</v>
      </c>
      <c r="AP132" s="117">
        <f t="shared" si="147"/>
        <v>0</v>
      </c>
      <c r="AQ132" s="117">
        <f t="shared" si="148"/>
        <v>0</v>
      </c>
      <c r="AR132" s="117">
        <f t="shared" si="149"/>
        <v>0</v>
      </c>
      <c r="AS132" s="161">
        <f t="shared" si="150"/>
        <v>0</v>
      </c>
      <c r="AT132" s="161">
        <f t="shared" si="151"/>
        <v>0</v>
      </c>
      <c r="AU132" s="161">
        <f t="shared" si="152"/>
        <v>0</v>
      </c>
      <c r="AV132" s="161">
        <f t="shared" si="153"/>
        <v>0</v>
      </c>
      <c r="AW132" s="161">
        <f t="shared" si="154"/>
        <v>0</v>
      </c>
      <c r="AX132" s="161">
        <f t="shared" si="155"/>
        <v>0</v>
      </c>
      <c r="AY132" s="161">
        <f t="shared" si="156"/>
        <v>0</v>
      </c>
      <c r="BD132" s="186" t="str">
        <f t="shared" si="157"/>
        <v>2PREF GRAVATAI</v>
      </c>
      <c r="BE132" s="186">
        <f t="shared" si="158"/>
        <v>2</v>
      </c>
      <c r="BF132" s="209" t="str">
        <f>'Base tabelas'!A111</f>
        <v>PREF GRAVATAI</v>
      </c>
      <c r="BG132" s="209" t="str">
        <f>'Base tabelas'!B111</f>
        <v>745746 - Tabela 3</v>
      </c>
      <c r="BH132" s="209">
        <f>'Base tabelas'!C111</f>
        <v>2.3E-2</v>
      </c>
      <c r="BI132" s="209">
        <f>'Base tabelas'!D111</f>
        <v>120</v>
      </c>
      <c r="BJ132" s="209" t="str">
        <f>'Base tabelas'!E111</f>
        <v/>
      </c>
      <c r="BK132" s="209">
        <f>'Base tabelas'!F111</f>
        <v>2.6</v>
      </c>
      <c r="BL132" s="209">
        <f>'Base tabelas'!G111</f>
        <v>20</v>
      </c>
      <c r="BM132" s="209">
        <f>'Base tabelas'!H111</f>
        <v>41</v>
      </c>
      <c r="BN132" s="209" t="str">
        <f>'Base tabelas'!I111</f>
        <v>RFN - PREF GRAVATAI DIG PORTAB 3 CLT PLU</v>
      </c>
      <c r="BO132" s="209" t="str">
        <f>'Base tabelas'!J111</f>
        <v>1,9</v>
      </c>
      <c r="BP132" s="209">
        <f>'Base tabelas'!K111</f>
        <v>1.9E-2</v>
      </c>
      <c r="BQ132" s="277">
        <f t="shared" si="122"/>
        <v>2.5561498506928567E-2</v>
      </c>
      <c r="BR132" s="278">
        <f t="shared" si="123"/>
        <v>2.6000000000000002E-2</v>
      </c>
      <c r="BS132" s="279">
        <v>2.9999999999999997E-4</v>
      </c>
    </row>
    <row r="133" spans="3:71" hidden="1" x14ac:dyDescent="0.25">
      <c r="C133">
        <v>84</v>
      </c>
      <c r="D133" s="10">
        <f t="shared" ca="1" si="137"/>
        <v>47705</v>
      </c>
      <c r="E133" s="14">
        <f t="shared" si="160"/>
        <v>0</v>
      </c>
      <c r="F133" s="14">
        <f t="shared" si="160"/>
        <v>0</v>
      </c>
      <c r="G133" s="14">
        <f t="shared" si="160"/>
        <v>0</v>
      </c>
      <c r="H133" s="14">
        <f t="shared" si="160"/>
        <v>0</v>
      </c>
      <c r="I133" s="14">
        <f t="shared" si="160"/>
        <v>0</v>
      </c>
      <c r="J133" s="14">
        <f t="shared" si="160"/>
        <v>0</v>
      </c>
      <c r="K133" s="14">
        <f t="shared" si="160"/>
        <v>0</v>
      </c>
      <c r="L133" s="14">
        <f t="shared" si="160"/>
        <v>0</v>
      </c>
      <c r="M133" s="14">
        <f t="shared" si="160"/>
        <v>0</v>
      </c>
      <c r="N133" s="14">
        <f t="shared" si="160"/>
        <v>0</v>
      </c>
      <c r="O133" s="224"/>
      <c r="Q133" s="161">
        <v>115</v>
      </c>
      <c r="R133" s="161">
        <f t="shared" si="111"/>
        <v>0</v>
      </c>
      <c r="S133" s="161">
        <f t="shared" si="138"/>
        <v>0</v>
      </c>
      <c r="T133" s="161">
        <f t="shared" si="139"/>
        <v>0</v>
      </c>
      <c r="U133" s="161">
        <f t="shared" si="140"/>
        <v>0</v>
      </c>
      <c r="V133" s="161">
        <f t="shared" si="141"/>
        <v>0</v>
      </c>
      <c r="W133" s="161">
        <f t="shared" si="142"/>
        <v>0</v>
      </c>
      <c r="X133" s="161">
        <f t="shared" si="143"/>
        <v>0</v>
      </c>
      <c r="Y133" s="161">
        <f t="shared" si="144"/>
        <v>0</v>
      </c>
      <c r="Z133" s="161">
        <f t="shared" si="145"/>
        <v>0</v>
      </c>
      <c r="AA133" s="161">
        <f t="shared" si="146"/>
        <v>0</v>
      </c>
      <c r="AC133" s="168">
        <v>115</v>
      </c>
      <c r="AD133" s="213">
        <f t="shared" ca="1" si="106"/>
        <v>48648</v>
      </c>
      <c r="AE133" s="260">
        <f t="shared" si="125"/>
        <v>0</v>
      </c>
      <c r="AG133" s="233">
        <v>115</v>
      </c>
      <c r="AH133" s="213">
        <f t="shared" ca="1" si="107"/>
        <v>48648</v>
      </c>
      <c r="AI133" s="260">
        <f t="shared" si="103"/>
        <v>0</v>
      </c>
      <c r="AJ133" s="215">
        <f t="shared" ca="1" si="104"/>
        <v>0</v>
      </c>
      <c r="AK133" s="168">
        <v>115</v>
      </c>
      <c r="AL133" s="213">
        <f t="shared" ca="1" si="108"/>
        <v>48648</v>
      </c>
      <c r="AM133" s="260">
        <f t="shared" si="105"/>
        <v>0</v>
      </c>
      <c r="AO133" s="161">
        <v>115</v>
      </c>
      <c r="AP133" s="117">
        <f t="shared" si="147"/>
        <v>0</v>
      </c>
      <c r="AQ133" s="117">
        <f t="shared" si="148"/>
        <v>0</v>
      </c>
      <c r="AR133" s="117">
        <f t="shared" si="149"/>
        <v>0</v>
      </c>
      <c r="AS133" s="161">
        <f t="shared" si="150"/>
        <v>0</v>
      </c>
      <c r="AT133" s="161">
        <f t="shared" si="151"/>
        <v>0</v>
      </c>
      <c r="AU133" s="161">
        <f t="shared" si="152"/>
        <v>0</v>
      </c>
      <c r="AV133" s="161">
        <f t="shared" si="153"/>
        <v>0</v>
      </c>
      <c r="AW133" s="161">
        <f t="shared" si="154"/>
        <v>0</v>
      </c>
      <c r="AX133" s="161">
        <f t="shared" si="155"/>
        <v>0</v>
      </c>
      <c r="AY133" s="161">
        <f t="shared" si="156"/>
        <v>0</v>
      </c>
      <c r="BD133" s="186" t="str">
        <f t="shared" si="157"/>
        <v>3PREF GRAVATAI</v>
      </c>
      <c r="BE133" s="186">
        <f t="shared" si="158"/>
        <v>3</v>
      </c>
      <c r="BF133" s="209" t="str">
        <f>'Base tabelas'!A112</f>
        <v>PREF GRAVATAI</v>
      </c>
      <c r="BG133" s="209" t="str">
        <f>'Base tabelas'!B112</f>
        <v>745747 - Tabela 4</v>
      </c>
      <c r="BH133" s="209">
        <f>'Base tabelas'!C112</f>
        <v>2.1499999999999998E-2</v>
      </c>
      <c r="BI133" s="209">
        <f>'Base tabelas'!D112</f>
        <v>120</v>
      </c>
      <c r="BJ133" s="209" t="str">
        <f>'Base tabelas'!E112</f>
        <v/>
      </c>
      <c r="BK133" s="209">
        <f>'Base tabelas'!F112</f>
        <v>2.6</v>
      </c>
      <c r="BL133" s="209">
        <f>'Base tabelas'!G112</f>
        <v>20</v>
      </c>
      <c r="BM133" s="209">
        <f>'Base tabelas'!H112</f>
        <v>46</v>
      </c>
      <c r="BN133" s="209" t="str">
        <f>'Base tabelas'!I112</f>
        <v>RFN - PREF GRAVATAI DIG PORTAB 4 PLUS</v>
      </c>
      <c r="BO133" s="209" t="str">
        <f>'Base tabelas'!J112</f>
        <v>1,9</v>
      </c>
      <c r="BP133" s="209">
        <f>'Base tabelas'!K112</f>
        <v>1.9E-2</v>
      </c>
      <c r="BQ133" s="277">
        <f t="shared" si="122"/>
        <v>2.4293186011966551E-2</v>
      </c>
      <c r="BR133" s="278">
        <f t="shared" si="123"/>
        <v>2.6000000000000002E-2</v>
      </c>
      <c r="BS133" s="279">
        <v>2.9999999999999997E-4</v>
      </c>
    </row>
    <row r="134" spans="3:71" hidden="1" x14ac:dyDescent="0.25">
      <c r="C134">
        <v>85</v>
      </c>
      <c r="D134" s="10">
        <f t="shared" ca="1" si="137"/>
        <v>47736</v>
      </c>
      <c r="E134" s="14">
        <f t="shared" si="160"/>
        <v>0</v>
      </c>
      <c r="F134" s="14">
        <f t="shared" si="160"/>
        <v>0</v>
      </c>
      <c r="G134" s="14">
        <f t="shared" si="160"/>
        <v>0</v>
      </c>
      <c r="H134" s="14">
        <f t="shared" si="160"/>
        <v>0</v>
      </c>
      <c r="I134" s="14">
        <f t="shared" si="160"/>
        <v>0</v>
      </c>
      <c r="J134" s="14">
        <f t="shared" si="160"/>
        <v>0</v>
      </c>
      <c r="K134" s="14">
        <f t="shared" si="160"/>
        <v>0</v>
      </c>
      <c r="L134" s="14">
        <f t="shared" si="160"/>
        <v>0</v>
      </c>
      <c r="M134" s="14">
        <f t="shared" si="160"/>
        <v>0</v>
      </c>
      <c r="N134" s="14">
        <f t="shared" si="160"/>
        <v>0</v>
      </c>
      <c r="O134" s="224"/>
      <c r="Q134" s="161">
        <v>116</v>
      </c>
      <c r="R134" s="161">
        <f t="shared" si="111"/>
        <v>0</v>
      </c>
      <c r="S134" s="161">
        <f t="shared" si="138"/>
        <v>0</v>
      </c>
      <c r="T134" s="161">
        <f t="shared" si="139"/>
        <v>0</v>
      </c>
      <c r="U134" s="161">
        <f t="shared" si="140"/>
        <v>0</v>
      </c>
      <c r="V134" s="161">
        <f t="shared" si="141"/>
        <v>0</v>
      </c>
      <c r="W134" s="161">
        <f t="shared" si="142"/>
        <v>0</v>
      </c>
      <c r="X134" s="161">
        <f t="shared" si="143"/>
        <v>0</v>
      </c>
      <c r="Y134" s="161">
        <f t="shared" si="144"/>
        <v>0</v>
      </c>
      <c r="Z134" s="161">
        <f t="shared" si="145"/>
        <v>0</v>
      </c>
      <c r="AA134" s="161">
        <f t="shared" si="146"/>
        <v>0</v>
      </c>
      <c r="AC134" s="168">
        <v>116</v>
      </c>
      <c r="AD134" s="213">
        <f t="shared" ca="1" si="106"/>
        <v>48679</v>
      </c>
      <c r="AE134" s="260">
        <f t="shared" si="125"/>
        <v>0</v>
      </c>
      <c r="AG134" s="233">
        <v>116</v>
      </c>
      <c r="AH134" s="213">
        <f t="shared" ca="1" si="107"/>
        <v>48679</v>
      </c>
      <c r="AI134" s="260">
        <f t="shared" si="103"/>
        <v>0</v>
      </c>
      <c r="AJ134" s="215">
        <f t="shared" ca="1" si="104"/>
        <v>0</v>
      </c>
      <c r="AK134" s="168">
        <v>116</v>
      </c>
      <c r="AL134" s="213">
        <f t="shared" ca="1" si="108"/>
        <v>48679</v>
      </c>
      <c r="AM134" s="260">
        <f t="shared" si="105"/>
        <v>0</v>
      </c>
      <c r="AO134" s="161">
        <v>116</v>
      </c>
      <c r="AP134" s="117">
        <f t="shared" si="147"/>
        <v>0</v>
      </c>
      <c r="AQ134" s="117">
        <f t="shared" si="148"/>
        <v>0</v>
      </c>
      <c r="AR134" s="117">
        <f t="shared" si="149"/>
        <v>0</v>
      </c>
      <c r="AS134" s="161">
        <f t="shared" si="150"/>
        <v>0</v>
      </c>
      <c r="AT134" s="161">
        <f t="shared" si="151"/>
        <v>0</v>
      </c>
      <c r="AU134" s="161">
        <f t="shared" si="152"/>
        <v>0</v>
      </c>
      <c r="AV134" s="161">
        <f t="shared" si="153"/>
        <v>0</v>
      </c>
      <c r="AW134" s="161">
        <f t="shared" si="154"/>
        <v>0</v>
      </c>
      <c r="AX134" s="161">
        <f t="shared" si="155"/>
        <v>0</v>
      </c>
      <c r="AY134" s="161">
        <f t="shared" si="156"/>
        <v>0</v>
      </c>
      <c r="BD134" s="186" t="str">
        <f t="shared" si="157"/>
        <v>1PREF GUARUJ</v>
      </c>
      <c r="BE134" s="186">
        <f t="shared" si="158"/>
        <v>1</v>
      </c>
      <c r="BF134" s="209" t="str">
        <f>'Base tabelas'!A113</f>
        <v>PREF GUARUJ</v>
      </c>
      <c r="BG134" s="209" t="str">
        <f>'Base tabelas'!B113</f>
        <v>720002 - Tabela 3</v>
      </c>
      <c r="BH134" s="209">
        <f>'Base tabelas'!C113</f>
        <v>1.9900000000000001E-2</v>
      </c>
      <c r="BI134" s="209">
        <f>'Base tabelas'!D113</f>
        <v>84</v>
      </c>
      <c r="BJ134" s="209" t="str">
        <f>'Base tabelas'!E113</f>
        <v/>
      </c>
      <c r="BK134" s="209">
        <f>'Base tabelas'!F113</f>
        <v>2.19</v>
      </c>
      <c r="BL134" s="209">
        <f>'Base tabelas'!G113</f>
        <v>10</v>
      </c>
      <c r="BM134" s="209">
        <f>'Base tabelas'!H113</f>
        <v>49</v>
      </c>
      <c r="BN134" s="209" t="str">
        <f>'Base tabelas'!I113</f>
        <v>RFN - PREF. GUARUJA PORTABILIDADE 3</v>
      </c>
      <c r="BO134" s="209" t="str">
        <f>'Base tabelas'!J113</f>
        <v>1,74</v>
      </c>
      <c r="BP134" s="209">
        <f>'Base tabelas'!K113</f>
        <v>1.7399999999999999E-2</v>
      </c>
      <c r="BQ134" s="277">
        <f t="shared" si="122"/>
        <v>2.5660416716098009E-2</v>
      </c>
      <c r="BR134" s="278">
        <f t="shared" si="123"/>
        <v>2.1899999999999999E-2</v>
      </c>
      <c r="BS134" s="279">
        <v>2.9999999999999997E-4</v>
      </c>
    </row>
    <row r="135" spans="3:71" hidden="1" x14ac:dyDescent="0.25">
      <c r="C135">
        <v>86</v>
      </c>
      <c r="D135" s="10">
        <f t="shared" ca="1" si="137"/>
        <v>47766</v>
      </c>
      <c r="E135" s="14">
        <f t="shared" si="160"/>
        <v>0</v>
      </c>
      <c r="F135" s="14">
        <f t="shared" si="160"/>
        <v>0</v>
      </c>
      <c r="G135" s="14">
        <f t="shared" si="160"/>
        <v>0</v>
      </c>
      <c r="H135" s="14">
        <f t="shared" si="160"/>
        <v>0</v>
      </c>
      <c r="I135" s="14">
        <f t="shared" si="160"/>
        <v>0</v>
      </c>
      <c r="J135" s="14">
        <f t="shared" si="160"/>
        <v>0</v>
      </c>
      <c r="K135" s="14">
        <f t="shared" si="160"/>
        <v>0</v>
      </c>
      <c r="L135" s="14">
        <f t="shared" si="160"/>
        <v>0</v>
      </c>
      <c r="M135" s="14">
        <f t="shared" si="160"/>
        <v>0</v>
      </c>
      <c r="N135" s="14">
        <f t="shared" si="160"/>
        <v>0</v>
      </c>
      <c r="O135" s="224"/>
      <c r="Q135" s="161">
        <v>117</v>
      </c>
      <c r="R135" s="161">
        <f t="shared" si="111"/>
        <v>0</v>
      </c>
      <c r="S135" s="161">
        <f t="shared" si="138"/>
        <v>0</v>
      </c>
      <c r="T135" s="161">
        <f t="shared" si="139"/>
        <v>0</v>
      </c>
      <c r="U135" s="161">
        <f t="shared" si="140"/>
        <v>0</v>
      </c>
      <c r="V135" s="161">
        <f t="shared" si="141"/>
        <v>0</v>
      </c>
      <c r="W135" s="161">
        <f t="shared" si="142"/>
        <v>0</v>
      </c>
      <c r="X135" s="161">
        <f t="shared" si="143"/>
        <v>0</v>
      </c>
      <c r="Y135" s="161">
        <f t="shared" si="144"/>
        <v>0</v>
      </c>
      <c r="Z135" s="161">
        <f t="shared" si="145"/>
        <v>0</v>
      </c>
      <c r="AA135" s="161">
        <f t="shared" si="146"/>
        <v>0</v>
      </c>
      <c r="AC135" s="168">
        <v>117</v>
      </c>
      <c r="AD135" s="213">
        <f t="shared" ca="1" si="106"/>
        <v>48709</v>
      </c>
      <c r="AE135" s="260">
        <f t="shared" si="125"/>
        <v>0</v>
      </c>
      <c r="AG135" s="233">
        <v>117</v>
      </c>
      <c r="AH135" s="213">
        <f t="shared" ca="1" si="107"/>
        <v>48709</v>
      </c>
      <c r="AI135" s="260">
        <f t="shared" si="103"/>
        <v>0</v>
      </c>
      <c r="AJ135" s="215">
        <f t="shared" ca="1" si="104"/>
        <v>0</v>
      </c>
      <c r="AK135" s="168">
        <v>117</v>
      </c>
      <c r="AL135" s="213">
        <f t="shared" ca="1" si="108"/>
        <v>48709</v>
      </c>
      <c r="AM135" s="260">
        <f t="shared" si="105"/>
        <v>0</v>
      </c>
      <c r="AO135" s="161">
        <v>117</v>
      </c>
      <c r="AP135" s="117">
        <f t="shared" si="147"/>
        <v>0</v>
      </c>
      <c r="AQ135" s="117">
        <f t="shared" si="148"/>
        <v>0</v>
      </c>
      <c r="AR135" s="117">
        <f t="shared" si="149"/>
        <v>0</v>
      </c>
      <c r="AS135" s="161">
        <f t="shared" si="150"/>
        <v>0</v>
      </c>
      <c r="AT135" s="161">
        <f t="shared" si="151"/>
        <v>0</v>
      </c>
      <c r="AU135" s="161">
        <f t="shared" si="152"/>
        <v>0</v>
      </c>
      <c r="AV135" s="161">
        <f t="shared" si="153"/>
        <v>0</v>
      </c>
      <c r="AW135" s="161">
        <f t="shared" si="154"/>
        <v>0</v>
      </c>
      <c r="AX135" s="161">
        <f t="shared" si="155"/>
        <v>0</v>
      </c>
      <c r="AY135" s="161">
        <f t="shared" si="156"/>
        <v>0</v>
      </c>
      <c r="BD135" s="186" t="str">
        <f t="shared" si="157"/>
        <v>1PREF GUARULHOS</v>
      </c>
      <c r="BE135" s="186">
        <f t="shared" si="158"/>
        <v>1</v>
      </c>
      <c r="BF135" s="209" t="str">
        <f>'Base tabelas'!A114</f>
        <v>PREF GUARULHOS</v>
      </c>
      <c r="BG135" s="209" t="str">
        <f>'Base tabelas'!B114</f>
        <v>795603 - Tabela 2</v>
      </c>
      <c r="BH135" s="209">
        <f>'Base tabelas'!C114</f>
        <v>2.2700000000000001E-2</v>
      </c>
      <c r="BI135" s="209">
        <f>'Base tabelas'!D114</f>
        <v>120</v>
      </c>
      <c r="BJ135" s="209" t="str">
        <f>'Base tabelas'!E114</f>
        <v/>
      </c>
      <c r="BK135" s="209">
        <f>'Base tabelas'!F114</f>
        <v>2.37</v>
      </c>
      <c r="BL135" s="209">
        <f>'Base tabelas'!G114</f>
        <v>10</v>
      </c>
      <c r="BM135" s="209">
        <f>'Base tabelas'!H114</f>
        <v>40</v>
      </c>
      <c r="BN135" s="209" t="str">
        <f>'Base tabelas'!I114</f>
        <v>RFN - PREF. GUARULHOS DIG 2 PORTAB</v>
      </c>
      <c r="BO135" s="209" t="str">
        <f>'Base tabelas'!J114</f>
        <v>1,74</v>
      </c>
      <c r="BP135" s="209">
        <f>'Base tabelas'!K114</f>
        <v>1.7399999999999999E-2</v>
      </c>
      <c r="BQ135" s="277">
        <f t="shared" si="122"/>
        <v>2.5269750485710916E-2</v>
      </c>
      <c r="BR135" s="278">
        <f t="shared" si="123"/>
        <v>2.3700000000000002E-2</v>
      </c>
      <c r="BS135" s="279">
        <v>2.9999999999999997E-4</v>
      </c>
    </row>
    <row r="136" spans="3:71" hidden="1" x14ac:dyDescent="0.25">
      <c r="C136">
        <v>87</v>
      </c>
      <c r="D136" s="10">
        <f t="shared" ca="1" si="137"/>
        <v>47797</v>
      </c>
      <c r="E136" s="14">
        <f t="shared" si="160"/>
        <v>0</v>
      </c>
      <c r="F136" s="14">
        <f t="shared" si="160"/>
        <v>0</v>
      </c>
      <c r="G136" s="14">
        <f t="shared" si="160"/>
        <v>0</v>
      </c>
      <c r="H136" s="14">
        <f t="shared" si="160"/>
        <v>0</v>
      </c>
      <c r="I136" s="14">
        <f t="shared" si="160"/>
        <v>0</v>
      </c>
      <c r="J136" s="14">
        <f t="shared" si="160"/>
        <v>0</v>
      </c>
      <c r="K136" s="14">
        <f t="shared" si="160"/>
        <v>0</v>
      </c>
      <c r="L136" s="14">
        <f t="shared" si="160"/>
        <v>0</v>
      </c>
      <c r="M136" s="14">
        <f t="shared" si="160"/>
        <v>0</v>
      </c>
      <c r="N136" s="14">
        <f t="shared" si="160"/>
        <v>0</v>
      </c>
      <c r="O136" s="224"/>
      <c r="Q136" s="161">
        <v>118</v>
      </c>
      <c r="R136" s="161">
        <f t="shared" si="111"/>
        <v>0</v>
      </c>
      <c r="S136" s="161">
        <f t="shared" si="138"/>
        <v>0</v>
      </c>
      <c r="T136" s="161">
        <f t="shared" si="139"/>
        <v>0</v>
      </c>
      <c r="U136" s="161">
        <f t="shared" si="140"/>
        <v>0</v>
      </c>
      <c r="V136" s="161">
        <f t="shared" si="141"/>
        <v>0</v>
      </c>
      <c r="W136" s="161">
        <f t="shared" si="142"/>
        <v>0</v>
      </c>
      <c r="X136" s="161">
        <f t="shared" si="143"/>
        <v>0</v>
      </c>
      <c r="Y136" s="161">
        <f t="shared" si="144"/>
        <v>0</v>
      </c>
      <c r="Z136" s="161">
        <f t="shared" si="145"/>
        <v>0</v>
      </c>
      <c r="AA136" s="161">
        <f t="shared" si="146"/>
        <v>0</v>
      </c>
      <c r="AC136" s="168">
        <v>118</v>
      </c>
      <c r="AD136" s="213">
        <f t="shared" ca="1" si="106"/>
        <v>48740</v>
      </c>
      <c r="AE136" s="260">
        <f t="shared" si="125"/>
        <v>0</v>
      </c>
      <c r="AG136" s="233">
        <v>118</v>
      </c>
      <c r="AH136" s="213">
        <f t="shared" ca="1" si="107"/>
        <v>48740</v>
      </c>
      <c r="AI136" s="260">
        <f t="shared" si="103"/>
        <v>0</v>
      </c>
      <c r="AJ136" s="215">
        <f t="shared" ca="1" si="104"/>
        <v>0</v>
      </c>
      <c r="AK136" s="168">
        <v>118</v>
      </c>
      <c r="AL136" s="213">
        <f t="shared" ca="1" si="108"/>
        <v>48740</v>
      </c>
      <c r="AM136" s="260">
        <f t="shared" si="105"/>
        <v>0</v>
      </c>
      <c r="AO136" s="161">
        <v>118</v>
      </c>
      <c r="AP136" s="117">
        <f t="shared" si="147"/>
        <v>0</v>
      </c>
      <c r="AQ136" s="117">
        <f t="shared" si="148"/>
        <v>0</v>
      </c>
      <c r="AR136" s="117">
        <f t="shared" si="149"/>
        <v>0</v>
      </c>
      <c r="AS136" s="161">
        <f t="shared" si="150"/>
        <v>0</v>
      </c>
      <c r="AT136" s="161">
        <f t="shared" si="151"/>
        <v>0</v>
      </c>
      <c r="AU136" s="161">
        <f t="shared" si="152"/>
        <v>0</v>
      </c>
      <c r="AV136" s="161">
        <f t="shared" si="153"/>
        <v>0</v>
      </c>
      <c r="AW136" s="161">
        <f t="shared" si="154"/>
        <v>0</v>
      </c>
      <c r="AX136" s="161">
        <f t="shared" si="155"/>
        <v>0</v>
      </c>
      <c r="AY136" s="161">
        <f t="shared" si="156"/>
        <v>0</v>
      </c>
      <c r="BD136" s="186" t="str">
        <f t="shared" si="157"/>
        <v>2PREF GUARULHOS</v>
      </c>
      <c r="BE136" s="186">
        <f t="shared" si="158"/>
        <v>2</v>
      </c>
      <c r="BF136" s="209" t="str">
        <f>'Base tabelas'!A115</f>
        <v>PREF GUARULHOS</v>
      </c>
      <c r="BG136" s="209" t="str">
        <f>'Base tabelas'!B115</f>
        <v>795605 - Tabela 3</v>
      </c>
      <c r="BH136" s="209">
        <f>'Base tabelas'!C115</f>
        <v>2.1700000000000001E-2</v>
      </c>
      <c r="BI136" s="209">
        <f>'Base tabelas'!D115</f>
        <v>120</v>
      </c>
      <c r="BJ136" s="209" t="str">
        <f>'Base tabelas'!E115</f>
        <v/>
      </c>
      <c r="BK136" s="209">
        <f>'Base tabelas'!F115</f>
        <v>2.37</v>
      </c>
      <c r="BL136" s="209">
        <f>'Base tabelas'!G115</f>
        <v>10</v>
      </c>
      <c r="BM136" s="209">
        <f>'Base tabelas'!H115</f>
        <v>48</v>
      </c>
      <c r="BN136" s="209" t="str">
        <f>'Base tabelas'!I115</f>
        <v>RFN - PREF. GUARULHOS DIG 3 PORTAB</v>
      </c>
      <c r="BO136" s="209" t="str">
        <f>'Base tabelas'!J115</f>
        <v>1,74</v>
      </c>
      <c r="BP136" s="209">
        <f>'Base tabelas'!K115</f>
        <v>1.7399999999999999E-2</v>
      </c>
      <c r="BQ136" s="277">
        <f t="shared" si="122"/>
        <v>2.4508791748944332E-2</v>
      </c>
      <c r="BR136" s="278">
        <f t="shared" si="123"/>
        <v>2.3700000000000002E-2</v>
      </c>
      <c r="BS136" s="279">
        <v>2.9999999999999997E-4</v>
      </c>
    </row>
    <row r="137" spans="3:71" hidden="1" x14ac:dyDescent="0.25">
      <c r="C137">
        <v>88</v>
      </c>
      <c r="D137" s="10">
        <f t="shared" ca="1" si="137"/>
        <v>47827</v>
      </c>
      <c r="E137" s="14">
        <f t="shared" si="160"/>
        <v>0</v>
      </c>
      <c r="F137" s="14">
        <f t="shared" si="160"/>
        <v>0</v>
      </c>
      <c r="G137" s="14">
        <f t="shared" si="160"/>
        <v>0</v>
      </c>
      <c r="H137" s="14">
        <f t="shared" si="160"/>
        <v>0</v>
      </c>
      <c r="I137" s="14">
        <f t="shared" si="160"/>
        <v>0</v>
      </c>
      <c r="J137" s="14">
        <f t="shared" si="160"/>
        <v>0</v>
      </c>
      <c r="K137" s="14">
        <f t="shared" si="160"/>
        <v>0</v>
      </c>
      <c r="L137" s="14">
        <f t="shared" si="160"/>
        <v>0</v>
      </c>
      <c r="M137" s="14">
        <f t="shared" si="160"/>
        <v>0</v>
      </c>
      <c r="N137" s="14">
        <f t="shared" si="160"/>
        <v>0</v>
      </c>
      <c r="O137" s="224"/>
      <c r="Q137" s="161">
        <v>119</v>
      </c>
      <c r="R137" s="161">
        <f t="shared" si="111"/>
        <v>0</v>
      </c>
      <c r="S137" s="161">
        <f t="shared" si="138"/>
        <v>0</v>
      </c>
      <c r="T137" s="161">
        <f t="shared" si="139"/>
        <v>0</v>
      </c>
      <c r="U137" s="161">
        <f t="shared" si="140"/>
        <v>0</v>
      </c>
      <c r="V137" s="161">
        <f t="shared" si="141"/>
        <v>0</v>
      </c>
      <c r="W137" s="161">
        <f t="shared" si="142"/>
        <v>0</v>
      </c>
      <c r="X137" s="161">
        <f t="shared" si="143"/>
        <v>0</v>
      </c>
      <c r="Y137" s="161">
        <f t="shared" si="144"/>
        <v>0</v>
      </c>
      <c r="Z137" s="161">
        <f t="shared" si="145"/>
        <v>0</v>
      </c>
      <c r="AA137" s="161">
        <f t="shared" si="146"/>
        <v>0</v>
      </c>
      <c r="AC137" s="168">
        <v>119</v>
      </c>
      <c r="AD137" s="213">
        <f t="shared" ca="1" si="106"/>
        <v>48770</v>
      </c>
      <c r="AE137" s="260">
        <f t="shared" si="125"/>
        <v>0</v>
      </c>
      <c r="AG137" s="233">
        <v>119</v>
      </c>
      <c r="AH137" s="213">
        <f t="shared" ca="1" si="107"/>
        <v>48770</v>
      </c>
      <c r="AI137" s="260">
        <f t="shared" si="103"/>
        <v>0</v>
      </c>
      <c r="AJ137" s="215">
        <f t="shared" ca="1" si="104"/>
        <v>0</v>
      </c>
      <c r="AK137" s="168">
        <v>119</v>
      </c>
      <c r="AL137" s="213">
        <f t="shared" ca="1" si="108"/>
        <v>48770</v>
      </c>
      <c r="AM137" s="260">
        <f t="shared" si="105"/>
        <v>0</v>
      </c>
      <c r="AO137" s="161">
        <v>119</v>
      </c>
      <c r="AP137" s="117">
        <f t="shared" si="147"/>
        <v>0</v>
      </c>
      <c r="AQ137" s="117">
        <f t="shared" si="148"/>
        <v>0</v>
      </c>
      <c r="AR137" s="117">
        <f t="shared" si="149"/>
        <v>0</v>
      </c>
      <c r="AS137" s="161">
        <f t="shared" si="150"/>
        <v>0</v>
      </c>
      <c r="AT137" s="161">
        <f t="shared" si="151"/>
        <v>0</v>
      </c>
      <c r="AU137" s="161">
        <f t="shared" si="152"/>
        <v>0</v>
      </c>
      <c r="AV137" s="161">
        <f t="shared" si="153"/>
        <v>0</v>
      </c>
      <c r="AW137" s="161">
        <f t="shared" si="154"/>
        <v>0</v>
      </c>
      <c r="AX137" s="161">
        <f t="shared" si="155"/>
        <v>0</v>
      </c>
      <c r="AY137" s="161">
        <f t="shared" si="156"/>
        <v>0</v>
      </c>
      <c r="BD137" s="186" t="str">
        <f t="shared" si="157"/>
        <v>3PREF GUARULHOS</v>
      </c>
      <c r="BE137" s="186">
        <f t="shared" si="158"/>
        <v>3</v>
      </c>
      <c r="BF137" s="209" t="str">
        <f>'Base tabelas'!A116</f>
        <v>PREF GUARULHOS</v>
      </c>
      <c r="BG137" s="209" t="str">
        <f>'Base tabelas'!B116</f>
        <v>795607 - Tabela 4</v>
      </c>
      <c r="BH137" s="209">
        <f>'Base tabelas'!C116</f>
        <v>2.07E-2</v>
      </c>
      <c r="BI137" s="209">
        <f>'Base tabelas'!D116</f>
        <v>120</v>
      </c>
      <c r="BJ137" s="209" t="str">
        <f>'Base tabelas'!E116</f>
        <v/>
      </c>
      <c r="BK137" s="209">
        <f>'Base tabelas'!F116</f>
        <v>2.37</v>
      </c>
      <c r="BL137" s="209">
        <f>'Base tabelas'!G116</f>
        <v>10</v>
      </c>
      <c r="BM137" s="209">
        <f>'Base tabelas'!H116</f>
        <v>51</v>
      </c>
      <c r="BN137" s="209" t="str">
        <f>'Base tabelas'!I116</f>
        <v>RFN - PREF. GUARULHOS DIG 4 PORTAB</v>
      </c>
      <c r="BO137" s="209" t="str">
        <f>'Base tabelas'!J116</f>
        <v>1,74</v>
      </c>
      <c r="BP137" s="209">
        <f>'Base tabelas'!K116</f>
        <v>1.7399999999999999E-2</v>
      </c>
      <c r="BQ137" s="277">
        <f t="shared" si="122"/>
        <v>2.3656393810214987E-2</v>
      </c>
      <c r="BR137" s="278">
        <f t="shared" si="123"/>
        <v>2.3700000000000002E-2</v>
      </c>
      <c r="BS137" s="279">
        <v>2.9999999999999997E-4</v>
      </c>
    </row>
    <row r="138" spans="3:71" hidden="1" x14ac:dyDescent="0.25">
      <c r="C138">
        <v>89</v>
      </c>
      <c r="D138" s="10">
        <f t="shared" ca="1" si="137"/>
        <v>47858</v>
      </c>
      <c r="E138" s="14">
        <f t="shared" si="160"/>
        <v>0</v>
      </c>
      <c r="F138" s="14">
        <f t="shared" si="160"/>
        <v>0</v>
      </c>
      <c r="G138" s="14">
        <f t="shared" si="160"/>
        <v>0</v>
      </c>
      <c r="H138" s="14">
        <f t="shared" si="160"/>
        <v>0</v>
      </c>
      <c r="I138" s="14">
        <f t="shared" si="160"/>
        <v>0</v>
      </c>
      <c r="J138" s="14">
        <f t="shared" si="160"/>
        <v>0</v>
      </c>
      <c r="K138" s="14">
        <f t="shared" si="160"/>
        <v>0</v>
      </c>
      <c r="L138" s="14">
        <f t="shared" si="160"/>
        <v>0</v>
      </c>
      <c r="M138" s="14">
        <f t="shared" si="160"/>
        <v>0</v>
      </c>
      <c r="N138" s="14">
        <f t="shared" si="160"/>
        <v>0</v>
      </c>
      <c r="O138" s="224"/>
      <c r="Q138" s="161">
        <v>120</v>
      </c>
      <c r="R138" s="161">
        <f t="shared" si="111"/>
        <v>0</v>
      </c>
      <c r="S138" s="161">
        <f t="shared" si="138"/>
        <v>0</v>
      </c>
      <c r="T138" s="161">
        <f t="shared" si="139"/>
        <v>0</v>
      </c>
      <c r="U138" s="161">
        <f t="shared" si="140"/>
        <v>0</v>
      </c>
      <c r="V138" s="161">
        <f t="shared" si="141"/>
        <v>0</v>
      </c>
      <c r="W138" s="161">
        <f t="shared" si="142"/>
        <v>0</v>
      </c>
      <c r="X138" s="161">
        <f t="shared" si="143"/>
        <v>0</v>
      </c>
      <c r="Y138" s="161">
        <f t="shared" si="144"/>
        <v>0</v>
      </c>
      <c r="Z138" s="161">
        <f t="shared" si="145"/>
        <v>0</v>
      </c>
      <c r="AA138" s="161">
        <f t="shared" si="146"/>
        <v>0</v>
      </c>
      <c r="AC138" s="168">
        <v>120</v>
      </c>
      <c r="AD138" s="213">
        <f t="shared" ca="1" si="106"/>
        <v>48801</v>
      </c>
      <c r="AE138" s="260">
        <f t="shared" si="125"/>
        <v>0</v>
      </c>
      <c r="AG138" s="233">
        <v>120</v>
      </c>
      <c r="AH138" s="213">
        <f t="shared" ca="1" si="107"/>
        <v>48801</v>
      </c>
      <c r="AI138" s="260">
        <f t="shared" si="103"/>
        <v>0</v>
      </c>
      <c r="AJ138" s="215">
        <f t="shared" ca="1" si="104"/>
        <v>0</v>
      </c>
      <c r="AK138" s="168">
        <v>120</v>
      </c>
      <c r="AL138" s="213">
        <f t="shared" ca="1" si="108"/>
        <v>48801</v>
      </c>
      <c r="AM138" s="260">
        <f t="shared" si="105"/>
        <v>0</v>
      </c>
      <c r="AO138" s="161">
        <v>120</v>
      </c>
      <c r="AP138" s="117">
        <f t="shared" si="147"/>
        <v>0</v>
      </c>
      <c r="AQ138" s="117">
        <f t="shared" si="148"/>
        <v>0</v>
      </c>
      <c r="AR138" s="117">
        <f t="shared" si="149"/>
        <v>0</v>
      </c>
      <c r="AS138" s="161">
        <f t="shared" si="150"/>
        <v>0</v>
      </c>
      <c r="AT138" s="161">
        <f t="shared" si="151"/>
        <v>0</v>
      </c>
      <c r="AU138" s="161">
        <f t="shared" si="152"/>
        <v>0</v>
      </c>
      <c r="AV138" s="161">
        <f t="shared" si="153"/>
        <v>0</v>
      </c>
      <c r="AW138" s="161">
        <f t="shared" si="154"/>
        <v>0</v>
      </c>
      <c r="AX138" s="161">
        <f t="shared" si="155"/>
        <v>0</v>
      </c>
      <c r="AY138" s="161">
        <f t="shared" si="156"/>
        <v>0</v>
      </c>
      <c r="BD138" s="186" t="str">
        <f t="shared" si="157"/>
        <v>4PREF GUARULHOS</v>
      </c>
      <c r="BE138" s="186">
        <f t="shared" si="158"/>
        <v>4</v>
      </c>
      <c r="BF138" s="209" t="str">
        <f>'Base tabelas'!A117</f>
        <v>PREF GUARULHOS</v>
      </c>
      <c r="BG138" s="209" t="str">
        <f>'Base tabelas'!B117</f>
        <v>795608 - Tabela 5</v>
      </c>
      <c r="BH138" s="209">
        <f>'Base tabelas'!C117</f>
        <v>1.9900000000000001E-2</v>
      </c>
      <c r="BI138" s="209">
        <f>'Base tabelas'!D117</f>
        <v>120</v>
      </c>
      <c r="BJ138" s="209" t="str">
        <f>'Base tabelas'!E117</f>
        <v/>
      </c>
      <c r="BK138" s="209">
        <f>'Base tabelas'!F117</f>
        <v>2.37</v>
      </c>
      <c r="BL138" s="209">
        <f>'Base tabelas'!G117</f>
        <v>10</v>
      </c>
      <c r="BM138" s="209">
        <f>'Base tabelas'!H117</f>
        <v>43</v>
      </c>
      <c r="BN138" s="209" t="str">
        <f>'Base tabelas'!I117</f>
        <v>RFN - PREF. GUARULHOS DIG 5 PORTAB</v>
      </c>
      <c r="BO138" s="209" t="str">
        <f>'Base tabelas'!J117</f>
        <v>1,74</v>
      </c>
      <c r="BP138" s="209">
        <f>'Base tabelas'!K117</f>
        <v>1.7399999999999999E-2</v>
      </c>
      <c r="BQ138" s="277">
        <f t="shared" si="122"/>
        <v>2.2821176746700898E-2</v>
      </c>
      <c r="BR138" s="278">
        <f t="shared" si="123"/>
        <v>2.3700000000000002E-2</v>
      </c>
      <c r="BS138" s="279">
        <v>2.9999999999999997E-4</v>
      </c>
    </row>
    <row r="139" spans="3:71" hidden="1" x14ac:dyDescent="0.25">
      <c r="C139">
        <v>90</v>
      </c>
      <c r="D139" s="10">
        <f t="shared" ca="1" si="137"/>
        <v>47889</v>
      </c>
      <c r="E139" s="14">
        <f t="shared" si="160"/>
        <v>0</v>
      </c>
      <c r="F139" s="14">
        <f t="shared" si="160"/>
        <v>0</v>
      </c>
      <c r="G139" s="14">
        <f t="shared" si="160"/>
        <v>0</v>
      </c>
      <c r="H139" s="14">
        <f t="shared" si="160"/>
        <v>0</v>
      </c>
      <c r="I139" s="14">
        <f t="shared" si="160"/>
        <v>0</v>
      </c>
      <c r="J139" s="14">
        <f t="shared" si="160"/>
        <v>0</v>
      </c>
      <c r="K139" s="14">
        <f t="shared" si="160"/>
        <v>0</v>
      </c>
      <c r="L139" s="14">
        <f t="shared" si="160"/>
        <v>0</v>
      </c>
      <c r="M139" s="14">
        <f t="shared" si="160"/>
        <v>0</v>
      </c>
      <c r="N139" s="14">
        <f t="shared" si="160"/>
        <v>0</v>
      </c>
      <c r="O139" s="224"/>
      <c r="Q139" s="161">
        <v>121</v>
      </c>
      <c r="R139" s="161">
        <f t="shared" si="111"/>
        <v>0</v>
      </c>
      <c r="S139" s="161">
        <f t="shared" si="138"/>
        <v>0</v>
      </c>
      <c r="T139" s="161">
        <f t="shared" si="139"/>
        <v>0</v>
      </c>
      <c r="U139" s="161">
        <f t="shared" si="140"/>
        <v>0</v>
      </c>
      <c r="V139" s="161">
        <f t="shared" si="141"/>
        <v>0</v>
      </c>
      <c r="W139" s="161">
        <f t="shared" si="142"/>
        <v>0</v>
      </c>
      <c r="X139" s="161">
        <f t="shared" si="143"/>
        <v>0</v>
      </c>
      <c r="Y139" s="161">
        <f t="shared" si="144"/>
        <v>0</v>
      </c>
      <c r="Z139" s="161">
        <f t="shared" si="145"/>
        <v>0</v>
      </c>
      <c r="AA139" s="161">
        <f t="shared" si="146"/>
        <v>0</v>
      </c>
      <c r="AC139" s="168">
        <v>121</v>
      </c>
      <c r="AD139" s="213">
        <f t="shared" ca="1" si="106"/>
        <v>48832</v>
      </c>
      <c r="AE139" s="260">
        <f t="shared" si="125"/>
        <v>0</v>
      </c>
      <c r="AG139" s="233">
        <v>121</v>
      </c>
      <c r="AH139" s="213">
        <f t="shared" ca="1" si="107"/>
        <v>48832</v>
      </c>
      <c r="AI139" s="260">
        <f t="shared" si="103"/>
        <v>0</v>
      </c>
      <c r="AJ139" s="215">
        <f t="shared" ca="1" si="104"/>
        <v>0</v>
      </c>
      <c r="AK139" s="168">
        <v>121</v>
      </c>
      <c r="AL139" s="213">
        <f t="shared" ca="1" si="108"/>
        <v>48832</v>
      </c>
      <c r="AM139" s="260">
        <f t="shared" si="105"/>
        <v>0</v>
      </c>
      <c r="AO139" s="161">
        <v>121</v>
      </c>
      <c r="AP139" s="117">
        <f t="shared" si="147"/>
        <v>0</v>
      </c>
      <c r="AQ139" s="117">
        <f t="shared" si="148"/>
        <v>0</v>
      </c>
      <c r="AR139" s="117">
        <f t="shared" si="149"/>
        <v>0</v>
      </c>
      <c r="AS139" s="161">
        <f t="shared" si="150"/>
        <v>0</v>
      </c>
      <c r="AT139" s="161">
        <f t="shared" si="151"/>
        <v>0</v>
      </c>
      <c r="AU139" s="161">
        <f t="shared" si="152"/>
        <v>0</v>
      </c>
      <c r="AV139" s="161">
        <f t="shared" si="153"/>
        <v>0</v>
      </c>
      <c r="AW139" s="161">
        <f t="shared" si="154"/>
        <v>0</v>
      </c>
      <c r="AX139" s="161">
        <f t="shared" si="155"/>
        <v>0</v>
      </c>
      <c r="AY139" s="161">
        <f t="shared" si="156"/>
        <v>0</v>
      </c>
      <c r="BD139" s="186" t="str">
        <f t="shared" si="157"/>
        <v>1PREF ITANHA</v>
      </c>
      <c r="BE139" s="186">
        <f t="shared" si="158"/>
        <v>1</v>
      </c>
      <c r="BF139" s="209" t="str">
        <f>'Base tabelas'!A118</f>
        <v>PREF ITANHA</v>
      </c>
      <c r="BG139" s="209" t="str">
        <f>'Base tabelas'!B118</f>
        <v>745882 - Tabela 2</v>
      </c>
      <c r="BH139" s="209">
        <f>'Base tabelas'!C118</f>
        <v>2.0899999999999998E-2</v>
      </c>
      <c r="BI139" s="209">
        <f>'Base tabelas'!D118</f>
        <v>120</v>
      </c>
      <c r="BJ139" s="209" t="str">
        <f>'Base tabelas'!E118</f>
        <v/>
      </c>
      <c r="BK139" s="209">
        <f>'Base tabelas'!F118</f>
        <v>2.19</v>
      </c>
      <c r="BL139" s="209">
        <f>'Base tabelas'!G118</f>
        <v>15</v>
      </c>
      <c r="BM139" s="209">
        <f>'Base tabelas'!H118</f>
        <v>33</v>
      </c>
      <c r="BN139" s="209" t="str">
        <f>'Base tabelas'!I118</f>
        <v>RFN - PREF. ITANHAEM DIG 2 PORTAB</v>
      </c>
      <c r="BO139" s="209" t="str">
        <f>'Base tabelas'!J118</f>
        <v>1,64</v>
      </c>
      <c r="BP139" s="209">
        <f>'Base tabelas'!K118</f>
        <v>1.6399999999999998E-2</v>
      </c>
      <c r="BQ139" s="277">
        <f t="shared" si="122"/>
        <v>2.3542415943940857E-2</v>
      </c>
      <c r="BR139" s="278">
        <f t="shared" si="123"/>
        <v>2.1899999999999999E-2</v>
      </c>
      <c r="BS139" s="279">
        <v>2.9999999999999997E-4</v>
      </c>
    </row>
    <row r="140" spans="3:71" hidden="1" x14ac:dyDescent="0.25">
      <c r="C140">
        <v>91</v>
      </c>
      <c r="D140" s="10">
        <f t="shared" ca="1" si="137"/>
        <v>47917</v>
      </c>
      <c r="E140" s="14">
        <f t="shared" ref="E140:N149" si="161">IF($C140&lt;=E$17,E$18/(($D$48+1)^(($D140-$D$49)/30)),0)</f>
        <v>0</v>
      </c>
      <c r="F140" s="14">
        <f t="shared" si="161"/>
        <v>0</v>
      </c>
      <c r="G140" s="14">
        <f t="shared" si="161"/>
        <v>0</v>
      </c>
      <c r="H140" s="14">
        <f t="shared" si="161"/>
        <v>0</v>
      </c>
      <c r="I140" s="14">
        <f t="shared" si="161"/>
        <v>0</v>
      </c>
      <c r="J140" s="14">
        <f t="shared" si="161"/>
        <v>0</v>
      </c>
      <c r="K140" s="14">
        <f t="shared" si="161"/>
        <v>0</v>
      </c>
      <c r="L140" s="14">
        <f t="shared" si="161"/>
        <v>0</v>
      </c>
      <c r="M140" s="14">
        <f t="shared" si="161"/>
        <v>0</v>
      </c>
      <c r="N140" s="14">
        <f t="shared" si="161"/>
        <v>0</v>
      </c>
      <c r="O140" s="224"/>
      <c r="Q140" s="161">
        <v>122</v>
      </c>
      <c r="R140" s="161">
        <f t="shared" si="111"/>
        <v>0</v>
      </c>
      <c r="S140" s="161">
        <f t="shared" si="138"/>
        <v>0</v>
      </c>
      <c r="T140" s="161">
        <f t="shared" si="139"/>
        <v>0</v>
      </c>
      <c r="U140" s="161">
        <f t="shared" si="140"/>
        <v>0</v>
      </c>
      <c r="V140" s="161">
        <f t="shared" si="141"/>
        <v>0</v>
      </c>
      <c r="W140" s="161">
        <f t="shared" si="142"/>
        <v>0</v>
      </c>
      <c r="X140" s="161">
        <f t="shared" si="143"/>
        <v>0</v>
      </c>
      <c r="Y140" s="161">
        <f t="shared" si="144"/>
        <v>0</v>
      </c>
      <c r="Z140" s="161">
        <f t="shared" si="145"/>
        <v>0</v>
      </c>
      <c r="AA140" s="161">
        <f t="shared" si="146"/>
        <v>0</v>
      </c>
      <c r="AC140" s="168">
        <v>122</v>
      </c>
      <c r="AD140" s="213">
        <f t="shared" ca="1" si="106"/>
        <v>48862</v>
      </c>
      <c r="AE140" s="260">
        <f t="shared" si="125"/>
        <v>0</v>
      </c>
      <c r="AG140" s="233">
        <v>122</v>
      </c>
      <c r="AH140" s="213">
        <f t="shared" ca="1" si="107"/>
        <v>48862</v>
      </c>
      <c r="AI140" s="260">
        <f t="shared" si="103"/>
        <v>0</v>
      </c>
      <c r="AJ140" s="215">
        <f t="shared" ca="1" si="104"/>
        <v>0</v>
      </c>
      <c r="AK140" s="168">
        <v>122</v>
      </c>
      <c r="AL140" s="213">
        <f t="shared" ca="1" si="108"/>
        <v>48862</v>
      </c>
      <c r="AM140" s="260">
        <f t="shared" si="105"/>
        <v>0</v>
      </c>
      <c r="AO140" s="161">
        <v>122</v>
      </c>
      <c r="AP140" s="117">
        <f t="shared" si="147"/>
        <v>0</v>
      </c>
      <c r="AQ140" s="117">
        <f t="shared" si="148"/>
        <v>0</v>
      </c>
      <c r="AR140" s="117">
        <f t="shared" si="149"/>
        <v>0</v>
      </c>
      <c r="AS140" s="161">
        <f t="shared" si="150"/>
        <v>0</v>
      </c>
      <c r="AT140" s="161">
        <f t="shared" si="151"/>
        <v>0</v>
      </c>
      <c r="AU140" s="161">
        <f t="shared" si="152"/>
        <v>0</v>
      </c>
      <c r="AV140" s="161">
        <f t="shared" si="153"/>
        <v>0</v>
      </c>
      <c r="AW140" s="161">
        <f t="shared" si="154"/>
        <v>0</v>
      </c>
      <c r="AX140" s="161">
        <f t="shared" si="155"/>
        <v>0</v>
      </c>
      <c r="AY140" s="161">
        <f t="shared" si="156"/>
        <v>0</v>
      </c>
      <c r="BD140" s="186" t="str">
        <f t="shared" si="157"/>
        <v>1PREF JUIZ FORA</v>
      </c>
      <c r="BE140" s="186">
        <f t="shared" si="158"/>
        <v>1</v>
      </c>
      <c r="BF140" s="209" t="str">
        <f>'Base tabelas'!A119</f>
        <v>PREF JUIZ FORA</v>
      </c>
      <c r="BG140" s="209" t="str">
        <f>'Base tabelas'!B119</f>
        <v>795161 - Tabela 1</v>
      </c>
      <c r="BH140" s="209">
        <f>'Base tabelas'!C119</f>
        <v>1.8500000000000003E-2</v>
      </c>
      <c r="BI140" s="209">
        <f>'Base tabelas'!D119</f>
        <v>120</v>
      </c>
      <c r="BJ140" s="209" t="str">
        <f>'Base tabelas'!E119</f>
        <v/>
      </c>
      <c r="BK140" s="209">
        <f>'Base tabelas'!F119</f>
        <v>2.4</v>
      </c>
      <c r="BL140" s="209">
        <f>'Base tabelas'!G119</f>
        <v>20</v>
      </c>
      <c r="BM140" s="209">
        <f>'Base tabelas'!H119</f>
        <v>70</v>
      </c>
      <c r="BN140" s="209" t="str">
        <f>'Base tabelas'!I119</f>
        <v>RFN - PREF. JUIZ DE FORA PORTAB 1 DIG</v>
      </c>
      <c r="BO140" s="209" t="str">
        <f>'Base tabelas'!J119</f>
        <v>1,65</v>
      </c>
      <c r="BP140" s="209">
        <f>'Base tabelas'!K119</f>
        <v>1.6500000000000001E-2</v>
      </c>
      <c r="BQ140" s="277">
        <f t="shared" si="122"/>
        <v>2.1964072229552579E-2</v>
      </c>
      <c r="BR140" s="278">
        <f t="shared" si="123"/>
        <v>2.4E-2</v>
      </c>
      <c r="BS140" s="279">
        <v>2.9999999999999997E-4</v>
      </c>
    </row>
    <row r="141" spans="3:71" hidden="1" x14ac:dyDescent="0.25">
      <c r="C141">
        <v>92</v>
      </c>
      <c r="D141" s="10">
        <f t="shared" ca="1" si="137"/>
        <v>47948</v>
      </c>
      <c r="E141" s="14">
        <f t="shared" si="161"/>
        <v>0</v>
      </c>
      <c r="F141" s="14">
        <f t="shared" si="161"/>
        <v>0</v>
      </c>
      <c r="G141" s="14">
        <f t="shared" si="161"/>
        <v>0</v>
      </c>
      <c r="H141" s="14">
        <f t="shared" si="161"/>
        <v>0</v>
      </c>
      <c r="I141" s="14">
        <f t="shared" si="161"/>
        <v>0</v>
      </c>
      <c r="J141" s="14">
        <f t="shared" si="161"/>
        <v>0</v>
      </c>
      <c r="K141" s="14">
        <f t="shared" si="161"/>
        <v>0</v>
      </c>
      <c r="L141" s="14">
        <f t="shared" si="161"/>
        <v>0</v>
      </c>
      <c r="M141" s="14">
        <f t="shared" si="161"/>
        <v>0</v>
      </c>
      <c r="N141" s="14">
        <f t="shared" si="161"/>
        <v>0</v>
      </c>
      <c r="O141" s="224"/>
      <c r="Q141" s="161">
        <v>123</v>
      </c>
      <c r="R141" s="161">
        <f t="shared" si="111"/>
        <v>0</v>
      </c>
      <c r="S141" s="161">
        <f t="shared" si="138"/>
        <v>0</v>
      </c>
      <c r="T141" s="161">
        <f t="shared" si="139"/>
        <v>0</v>
      </c>
      <c r="U141" s="161">
        <f t="shared" si="140"/>
        <v>0</v>
      </c>
      <c r="V141" s="161">
        <f t="shared" si="141"/>
        <v>0</v>
      </c>
      <c r="W141" s="161">
        <f t="shared" si="142"/>
        <v>0</v>
      </c>
      <c r="X141" s="161">
        <f t="shared" si="143"/>
        <v>0</v>
      </c>
      <c r="Y141" s="161">
        <f t="shared" si="144"/>
        <v>0</v>
      </c>
      <c r="Z141" s="161">
        <f t="shared" si="145"/>
        <v>0</v>
      </c>
      <c r="AA141" s="161">
        <f t="shared" si="146"/>
        <v>0</v>
      </c>
      <c r="AC141" s="168">
        <v>123</v>
      </c>
      <c r="AD141" s="213">
        <f t="shared" ca="1" si="106"/>
        <v>48893</v>
      </c>
      <c r="AE141" s="260">
        <f t="shared" si="125"/>
        <v>0</v>
      </c>
      <c r="AG141" s="233">
        <v>123</v>
      </c>
      <c r="AH141" s="213">
        <f t="shared" ca="1" si="107"/>
        <v>48893</v>
      </c>
      <c r="AI141" s="260">
        <f t="shared" si="103"/>
        <v>0</v>
      </c>
      <c r="AJ141" s="215">
        <f t="shared" ca="1" si="104"/>
        <v>0</v>
      </c>
      <c r="AK141" s="168">
        <v>123</v>
      </c>
      <c r="AL141" s="213">
        <f t="shared" ca="1" si="108"/>
        <v>48893</v>
      </c>
      <c r="AM141" s="260">
        <f t="shared" si="105"/>
        <v>0</v>
      </c>
      <c r="AO141" s="161">
        <v>123</v>
      </c>
      <c r="AP141" s="117">
        <f t="shared" si="147"/>
        <v>0</v>
      </c>
      <c r="AQ141" s="117">
        <f t="shared" si="148"/>
        <v>0</v>
      </c>
      <c r="AR141" s="117">
        <f t="shared" si="149"/>
        <v>0</v>
      </c>
      <c r="AS141" s="161">
        <f t="shared" si="150"/>
        <v>0</v>
      </c>
      <c r="AT141" s="161">
        <f t="shared" si="151"/>
        <v>0</v>
      </c>
      <c r="AU141" s="161">
        <f t="shared" si="152"/>
        <v>0</v>
      </c>
      <c r="AV141" s="161">
        <f t="shared" si="153"/>
        <v>0</v>
      </c>
      <c r="AW141" s="161">
        <f t="shared" si="154"/>
        <v>0</v>
      </c>
      <c r="AX141" s="161">
        <f t="shared" si="155"/>
        <v>0</v>
      </c>
      <c r="AY141" s="161">
        <f t="shared" si="156"/>
        <v>0</v>
      </c>
      <c r="BD141" s="186" t="str">
        <f t="shared" si="157"/>
        <v>1PREF MANAUS.</v>
      </c>
      <c r="BE141" s="186">
        <f t="shared" si="158"/>
        <v>1</v>
      </c>
      <c r="BF141" s="209" t="str">
        <f>'Base tabelas'!A120</f>
        <v>PREF MANAUS.</v>
      </c>
      <c r="BG141" s="209" t="str">
        <f>'Base tabelas'!B120</f>
        <v>793281 - Tabela 1</v>
      </c>
      <c r="BH141" s="209">
        <f>'Base tabelas'!C120</f>
        <v>2.5499999999999998E-2</v>
      </c>
      <c r="BI141" s="209">
        <f>'Base tabelas'!D120</f>
        <v>96</v>
      </c>
      <c r="BJ141" s="209" t="str">
        <f>'Base tabelas'!E120</f>
        <v/>
      </c>
      <c r="BK141" s="209">
        <f>'Base tabelas'!F120</f>
        <v>2.5</v>
      </c>
      <c r="BL141" s="209">
        <f>'Base tabelas'!G120</f>
        <v>20</v>
      </c>
      <c r="BM141" s="209">
        <f>'Base tabelas'!H120</f>
        <v>68</v>
      </c>
      <c r="BN141" s="209" t="str">
        <f>'Base tabelas'!I120</f>
        <v>RFN - PREF. MANAUS DIG 1 PORTAB</v>
      </c>
      <c r="BO141" s="209" t="str">
        <f>'Base tabelas'!J120</f>
        <v>2,1</v>
      </c>
      <c r="BP141" s="209">
        <f>'Base tabelas'!K120</f>
        <v>2.1000000000000001E-2</v>
      </c>
      <c r="BQ141" s="277">
        <f t="shared" si="122"/>
        <v>2.9775524895414272E-2</v>
      </c>
      <c r="BR141" s="278">
        <f t="shared" si="123"/>
        <v>2.5000000000000001E-2</v>
      </c>
      <c r="BS141" s="279">
        <v>2.9999999999999997E-4</v>
      </c>
    </row>
    <row r="142" spans="3:71" hidden="1" x14ac:dyDescent="0.25">
      <c r="C142">
        <v>93</v>
      </c>
      <c r="D142" s="10">
        <f t="shared" ca="1" si="137"/>
        <v>47978</v>
      </c>
      <c r="E142" s="14">
        <f t="shared" si="161"/>
        <v>0</v>
      </c>
      <c r="F142" s="14">
        <f t="shared" si="161"/>
        <v>0</v>
      </c>
      <c r="G142" s="14">
        <f t="shared" si="161"/>
        <v>0</v>
      </c>
      <c r="H142" s="14">
        <f t="shared" si="161"/>
        <v>0</v>
      </c>
      <c r="I142" s="14">
        <f t="shared" si="161"/>
        <v>0</v>
      </c>
      <c r="J142" s="14">
        <f t="shared" si="161"/>
        <v>0</v>
      </c>
      <c r="K142" s="14">
        <f t="shared" si="161"/>
        <v>0</v>
      </c>
      <c r="L142" s="14">
        <f t="shared" si="161"/>
        <v>0</v>
      </c>
      <c r="M142" s="14">
        <f t="shared" si="161"/>
        <v>0</v>
      </c>
      <c r="N142" s="14">
        <f t="shared" si="161"/>
        <v>0</v>
      </c>
      <c r="O142" s="224"/>
      <c r="Q142" s="161">
        <v>124</v>
      </c>
      <c r="R142" s="161">
        <f t="shared" si="111"/>
        <v>0</v>
      </c>
      <c r="S142" s="161">
        <f t="shared" si="138"/>
        <v>0</v>
      </c>
      <c r="T142" s="161">
        <f t="shared" si="139"/>
        <v>0</v>
      </c>
      <c r="U142" s="161">
        <f t="shared" si="140"/>
        <v>0</v>
      </c>
      <c r="V142" s="161">
        <f t="shared" si="141"/>
        <v>0</v>
      </c>
      <c r="W142" s="161">
        <f t="shared" si="142"/>
        <v>0</v>
      </c>
      <c r="X142" s="161">
        <f t="shared" si="143"/>
        <v>0</v>
      </c>
      <c r="Y142" s="161">
        <f t="shared" si="144"/>
        <v>0</v>
      </c>
      <c r="Z142" s="161">
        <f t="shared" si="145"/>
        <v>0</v>
      </c>
      <c r="AA142" s="161">
        <f t="shared" si="146"/>
        <v>0</v>
      </c>
      <c r="AC142" s="168">
        <v>124</v>
      </c>
      <c r="AD142" s="213">
        <f t="shared" ca="1" si="106"/>
        <v>48923</v>
      </c>
      <c r="AE142" s="260">
        <f t="shared" si="125"/>
        <v>0</v>
      </c>
      <c r="AG142" s="233">
        <v>124</v>
      </c>
      <c r="AH142" s="213">
        <f t="shared" ca="1" si="107"/>
        <v>48923</v>
      </c>
      <c r="AI142" s="260">
        <f t="shared" si="103"/>
        <v>0</v>
      </c>
      <c r="AJ142" s="215">
        <f t="shared" ca="1" si="104"/>
        <v>0</v>
      </c>
      <c r="AK142" s="168">
        <v>124</v>
      </c>
      <c r="AL142" s="213">
        <f t="shared" ca="1" si="108"/>
        <v>48923</v>
      </c>
      <c r="AM142" s="260">
        <f t="shared" si="105"/>
        <v>0</v>
      </c>
      <c r="AO142" s="161">
        <v>124</v>
      </c>
      <c r="AP142" s="117">
        <f t="shared" si="147"/>
        <v>0</v>
      </c>
      <c r="AQ142" s="117">
        <f t="shared" si="148"/>
        <v>0</v>
      </c>
      <c r="AR142" s="117">
        <f t="shared" si="149"/>
        <v>0</v>
      </c>
      <c r="AS142" s="161">
        <f t="shared" si="150"/>
        <v>0</v>
      </c>
      <c r="AT142" s="161">
        <f t="shared" si="151"/>
        <v>0</v>
      </c>
      <c r="AU142" s="161">
        <f t="shared" si="152"/>
        <v>0</v>
      </c>
      <c r="AV142" s="161">
        <f t="shared" si="153"/>
        <v>0</v>
      </c>
      <c r="AW142" s="161">
        <f t="shared" si="154"/>
        <v>0</v>
      </c>
      <c r="AX142" s="161">
        <f t="shared" si="155"/>
        <v>0</v>
      </c>
      <c r="AY142" s="161">
        <f t="shared" si="156"/>
        <v>0</v>
      </c>
      <c r="BD142" s="186" t="str">
        <f t="shared" si="157"/>
        <v>2PREF MANAUS.</v>
      </c>
      <c r="BE142" s="186">
        <f t="shared" si="158"/>
        <v>2</v>
      </c>
      <c r="BF142" s="209" t="str">
        <f>'Base tabelas'!A121</f>
        <v>PREF MANAUS.</v>
      </c>
      <c r="BG142" s="209" t="str">
        <f>'Base tabelas'!B121</f>
        <v>793282 - Tabela 2</v>
      </c>
      <c r="BH142" s="209">
        <f>'Base tabelas'!C121</f>
        <v>2.4500000000000001E-2</v>
      </c>
      <c r="BI142" s="209">
        <f>'Base tabelas'!D121</f>
        <v>96</v>
      </c>
      <c r="BJ142" s="209" t="str">
        <f>'Base tabelas'!E121</f>
        <v/>
      </c>
      <c r="BK142" s="209">
        <f>'Base tabelas'!F121</f>
        <v>2.5</v>
      </c>
      <c r="BL142" s="209">
        <f>'Base tabelas'!G121</f>
        <v>20</v>
      </c>
      <c r="BM142" s="209">
        <f>'Base tabelas'!H121</f>
        <v>61</v>
      </c>
      <c r="BN142" s="209" t="str">
        <f>'Base tabelas'!I121</f>
        <v>RFN - PREF. MANAUS DIG 2 PORTAB</v>
      </c>
      <c r="BO142" s="209" t="str">
        <f>'Base tabelas'!J121</f>
        <v>2,1</v>
      </c>
      <c r="BP142" s="209">
        <f>'Base tabelas'!K121</f>
        <v>2.1000000000000001E-2</v>
      </c>
      <c r="BQ142" s="277">
        <f t="shared" si="122"/>
        <v>2.8687330570859398E-2</v>
      </c>
      <c r="BR142" s="278">
        <f t="shared" si="123"/>
        <v>2.5000000000000001E-2</v>
      </c>
      <c r="BS142" s="279">
        <v>2.9999999999999997E-4</v>
      </c>
    </row>
    <row r="143" spans="3:71" hidden="1" x14ac:dyDescent="0.25">
      <c r="C143">
        <v>94</v>
      </c>
      <c r="D143" s="10">
        <f t="shared" ca="1" si="137"/>
        <v>48009</v>
      </c>
      <c r="E143" s="14">
        <f t="shared" si="161"/>
        <v>0</v>
      </c>
      <c r="F143" s="14">
        <f t="shared" si="161"/>
        <v>0</v>
      </c>
      <c r="G143" s="14">
        <f t="shared" si="161"/>
        <v>0</v>
      </c>
      <c r="H143" s="14">
        <f t="shared" si="161"/>
        <v>0</v>
      </c>
      <c r="I143" s="14">
        <f t="shared" si="161"/>
        <v>0</v>
      </c>
      <c r="J143" s="14">
        <f t="shared" si="161"/>
        <v>0</v>
      </c>
      <c r="K143" s="14">
        <f t="shared" si="161"/>
        <v>0</v>
      </c>
      <c r="L143" s="14">
        <f t="shared" si="161"/>
        <v>0</v>
      </c>
      <c r="M143" s="14">
        <f t="shared" si="161"/>
        <v>0</v>
      </c>
      <c r="N143" s="14">
        <f t="shared" si="161"/>
        <v>0</v>
      </c>
      <c r="O143" s="224"/>
      <c r="Q143" s="161">
        <v>125</v>
      </c>
      <c r="R143" s="161">
        <f t="shared" si="111"/>
        <v>0</v>
      </c>
      <c r="S143" s="161">
        <f t="shared" si="138"/>
        <v>0</v>
      </c>
      <c r="T143" s="161">
        <f t="shared" si="139"/>
        <v>0</v>
      </c>
      <c r="U143" s="161">
        <f t="shared" si="140"/>
        <v>0</v>
      </c>
      <c r="V143" s="161">
        <f t="shared" si="141"/>
        <v>0</v>
      </c>
      <c r="W143" s="161">
        <f t="shared" si="142"/>
        <v>0</v>
      </c>
      <c r="X143" s="161">
        <f t="shared" si="143"/>
        <v>0</v>
      </c>
      <c r="Y143" s="161">
        <f t="shared" si="144"/>
        <v>0</v>
      </c>
      <c r="Z143" s="161">
        <f t="shared" si="145"/>
        <v>0</v>
      </c>
      <c r="AA143" s="161">
        <f t="shared" si="146"/>
        <v>0</v>
      </c>
      <c r="AC143" s="168">
        <v>125</v>
      </c>
      <c r="AD143" s="213">
        <f t="shared" ca="1" si="106"/>
        <v>48954</v>
      </c>
      <c r="AE143" s="260">
        <f t="shared" si="125"/>
        <v>0</v>
      </c>
      <c r="AG143" s="233">
        <v>125</v>
      </c>
      <c r="AH143" s="213">
        <f t="shared" ca="1" si="107"/>
        <v>48954</v>
      </c>
      <c r="AI143" s="260">
        <f t="shared" si="103"/>
        <v>0</v>
      </c>
      <c r="AJ143" s="215">
        <f t="shared" ca="1" si="104"/>
        <v>0</v>
      </c>
      <c r="AK143" s="168">
        <v>125</v>
      </c>
      <c r="AL143" s="213">
        <f t="shared" ca="1" si="108"/>
        <v>48954</v>
      </c>
      <c r="AM143" s="260">
        <f t="shared" si="105"/>
        <v>0</v>
      </c>
      <c r="AO143" s="161">
        <v>125</v>
      </c>
      <c r="AP143" s="117">
        <f t="shared" si="147"/>
        <v>0</v>
      </c>
      <c r="AQ143" s="117">
        <f t="shared" si="148"/>
        <v>0</v>
      </c>
      <c r="AR143" s="117">
        <f t="shared" si="149"/>
        <v>0</v>
      </c>
      <c r="AS143" s="161">
        <f t="shared" si="150"/>
        <v>0</v>
      </c>
      <c r="AT143" s="161">
        <f t="shared" si="151"/>
        <v>0</v>
      </c>
      <c r="AU143" s="161">
        <f t="shared" si="152"/>
        <v>0</v>
      </c>
      <c r="AV143" s="161">
        <f t="shared" si="153"/>
        <v>0</v>
      </c>
      <c r="AW143" s="161">
        <f t="shared" si="154"/>
        <v>0</v>
      </c>
      <c r="AX143" s="161">
        <f t="shared" si="155"/>
        <v>0</v>
      </c>
      <c r="AY143" s="161">
        <f t="shared" si="156"/>
        <v>0</v>
      </c>
      <c r="BD143" s="186" t="str">
        <f t="shared" si="157"/>
        <v>3PREF MANAUS.</v>
      </c>
      <c r="BE143" s="186">
        <f t="shared" si="158"/>
        <v>3</v>
      </c>
      <c r="BF143" s="209" t="str">
        <f>'Base tabelas'!A122</f>
        <v>PREF MANAUS.</v>
      </c>
      <c r="BG143" s="209" t="str">
        <f>'Base tabelas'!B122</f>
        <v>793283 - Tabela 3</v>
      </c>
      <c r="BH143" s="209">
        <f>'Base tabelas'!C122</f>
        <v>2.35E-2</v>
      </c>
      <c r="BI143" s="209">
        <f>'Base tabelas'!D122</f>
        <v>96</v>
      </c>
      <c r="BJ143" s="209" t="str">
        <f>'Base tabelas'!E122</f>
        <v/>
      </c>
      <c r="BK143" s="209">
        <f>'Base tabelas'!F122</f>
        <v>2.5</v>
      </c>
      <c r="BL143" s="209">
        <f>'Base tabelas'!G122</f>
        <v>20</v>
      </c>
      <c r="BM143" s="209">
        <f>'Base tabelas'!H122</f>
        <v>63</v>
      </c>
      <c r="BN143" s="209" t="str">
        <f>'Base tabelas'!I122</f>
        <v>RFN - PREF. MANAUS DIG 3 PORTAB</v>
      </c>
      <c r="BO143" s="209" t="str">
        <f>'Base tabelas'!J122</f>
        <v>2,1</v>
      </c>
      <c r="BP143" s="209">
        <f>'Base tabelas'!K122</f>
        <v>2.1000000000000001E-2</v>
      </c>
      <c r="BQ143" s="277">
        <f t="shared" si="122"/>
        <v>2.7828143187426675E-2</v>
      </c>
      <c r="BR143" s="278">
        <f t="shared" si="123"/>
        <v>2.5000000000000001E-2</v>
      </c>
      <c r="BS143" s="279">
        <v>2.9999999999999997E-4</v>
      </c>
    </row>
    <row r="144" spans="3:71" hidden="1" x14ac:dyDescent="0.25">
      <c r="C144">
        <v>95</v>
      </c>
      <c r="D144" s="10">
        <f t="shared" ca="1" si="137"/>
        <v>48039</v>
      </c>
      <c r="E144" s="14">
        <f t="shared" si="161"/>
        <v>0</v>
      </c>
      <c r="F144" s="14">
        <f t="shared" si="161"/>
        <v>0</v>
      </c>
      <c r="G144" s="14">
        <f t="shared" si="161"/>
        <v>0</v>
      </c>
      <c r="H144" s="14">
        <f t="shared" si="161"/>
        <v>0</v>
      </c>
      <c r="I144" s="14">
        <f t="shared" si="161"/>
        <v>0</v>
      </c>
      <c r="J144" s="14">
        <f t="shared" si="161"/>
        <v>0</v>
      </c>
      <c r="K144" s="14">
        <f t="shared" si="161"/>
        <v>0</v>
      </c>
      <c r="L144" s="14">
        <f t="shared" si="161"/>
        <v>0</v>
      </c>
      <c r="M144" s="14">
        <f t="shared" si="161"/>
        <v>0</v>
      </c>
      <c r="N144" s="14">
        <f t="shared" si="161"/>
        <v>0</v>
      </c>
      <c r="O144" s="224"/>
      <c r="Q144" s="161">
        <v>126</v>
      </c>
      <c r="R144" s="161">
        <f t="shared" si="111"/>
        <v>0</v>
      </c>
      <c r="S144" s="161">
        <f t="shared" si="138"/>
        <v>0</v>
      </c>
      <c r="T144" s="161">
        <f t="shared" si="139"/>
        <v>0</v>
      </c>
      <c r="U144" s="161">
        <f t="shared" si="140"/>
        <v>0</v>
      </c>
      <c r="V144" s="161">
        <f t="shared" si="141"/>
        <v>0</v>
      </c>
      <c r="W144" s="161">
        <f t="shared" si="142"/>
        <v>0</v>
      </c>
      <c r="X144" s="161">
        <f t="shared" si="143"/>
        <v>0</v>
      </c>
      <c r="Y144" s="161">
        <f t="shared" si="144"/>
        <v>0</v>
      </c>
      <c r="Z144" s="161">
        <f t="shared" si="145"/>
        <v>0</v>
      </c>
      <c r="AA144" s="161">
        <f t="shared" si="146"/>
        <v>0</v>
      </c>
      <c r="AC144" s="168">
        <v>126</v>
      </c>
      <c r="AD144" s="213">
        <f t="shared" ca="1" si="106"/>
        <v>48985</v>
      </c>
      <c r="AE144" s="260">
        <f t="shared" si="125"/>
        <v>0</v>
      </c>
      <c r="AG144" s="233">
        <v>126</v>
      </c>
      <c r="AH144" s="213">
        <f t="shared" ca="1" si="107"/>
        <v>48985</v>
      </c>
      <c r="AI144" s="260">
        <f t="shared" si="103"/>
        <v>0</v>
      </c>
      <c r="AJ144" s="215">
        <f t="shared" ca="1" si="104"/>
        <v>0</v>
      </c>
      <c r="AK144" s="168">
        <v>126</v>
      </c>
      <c r="AL144" s="213">
        <f t="shared" ca="1" si="108"/>
        <v>48985</v>
      </c>
      <c r="AM144" s="260">
        <f t="shared" si="105"/>
        <v>0</v>
      </c>
      <c r="AO144" s="161">
        <v>126</v>
      </c>
      <c r="AP144" s="117">
        <f t="shared" si="147"/>
        <v>0</v>
      </c>
      <c r="AQ144" s="117">
        <f t="shared" si="148"/>
        <v>0</v>
      </c>
      <c r="AR144" s="117">
        <f t="shared" si="149"/>
        <v>0</v>
      </c>
      <c r="AS144" s="161">
        <f t="shared" si="150"/>
        <v>0</v>
      </c>
      <c r="AT144" s="161">
        <f t="shared" si="151"/>
        <v>0</v>
      </c>
      <c r="AU144" s="161">
        <f t="shared" si="152"/>
        <v>0</v>
      </c>
      <c r="AV144" s="161">
        <f t="shared" si="153"/>
        <v>0</v>
      </c>
      <c r="AW144" s="161">
        <f t="shared" si="154"/>
        <v>0</v>
      </c>
      <c r="AX144" s="161">
        <f t="shared" si="155"/>
        <v>0</v>
      </c>
      <c r="AY144" s="161">
        <f t="shared" si="156"/>
        <v>0</v>
      </c>
      <c r="BD144" s="186" t="str">
        <f t="shared" si="157"/>
        <v>1PREF OLINDA</v>
      </c>
      <c r="BE144" s="186">
        <f t="shared" si="158"/>
        <v>1</v>
      </c>
      <c r="BF144" s="209" t="str">
        <f>'Base tabelas'!A123</f>
        <v>PREF OLINDA</v>
      </c>
      <c r="BG144" s="209" t="str">
        <f>'Base tabelas'!B123</f>
        <v>705481 - Tabela 1</v>
      </c>
      <c r="BH144" s="209">
        <f>'Base tabelas'!C123</f>
        <v>2.2499999999999999E-2</v>
      </c>
      <c r="BI144" s="209">
        <f>'Base tabelas'!D123</f>
        <v>120</v>
      </c>
      <c r="BJ144" s="209" t="str">
        <f>'Base tabelas'!E123</f>
        <v/>
      </c>
      <c r="BK144" s="209">
        <f>'Base tabelas'!F123</f>
        <v>5</v>
      </c>
      <c r="BL144" s="209">
        <f>'Base tabelas'!G123</f>
        <v>20</v>
      </c>
      <c r="BM144" s="209">
        <f>'Base tabelas'!H123</f>
        <v>55</v>
      </c>
      <c r="BN144" s="209" t="str">
        <f>'Base tabelas'!I123</f>
        <v>RFN - PREF OLINDA DIG PORTAB 1</v>
      </c>
      <c r="BO144" s="209" t="str">
        <f>'Base tabelas'!J123</f>
        <v>2</v>
      </c>
      <c r="BP144" s="209">
        <f>'Base tabelas'!K123</f>
        <v>0.02</v>
      </c>
      <c r="BQ144" s="277">
        <f t="shared" si="122"/>
        <v>2.5369377612286227E-2</v>
      </c>
      <c r="BR144" s="278">
        <f t="shared" si="123"/>
        <v>0.05</v>
      </c>
      <c r="BS144" s="279">
        <v>2.9999999999999997E-4</v>
      </c>
    </row>
    <row r="145" spans="3:71" hidden="1" x14ac:dyDescent="0.25">
      <c r="C145">
        <v>96</v>
      </c>
      <c r="D145" s="10">
        <f t="shared" ca="1" si="137"/>
        <v>48070</v>
      </c>
      <c r="E145" s="14">
        <f t="shared" si="161"/>
        <v>0</v>
      </c>
      <c r="F145" s="14">
        <f t="shared" si="161"/>
        <v>0</v>
      </c>
      <c r="G145" s="14">
        <f t="shared" si="161"/>
        <v>0</v>
      </c>
      <c r="H145" s="14">
        <f t="shared" si="161"/>
        <v>0</v>
      </c>
      <c r="I145" s="14">
        <f t="shared" si="161"/>
        <v>0</v>
      </c>
      <c r="J145" s="14">
        <f t="shared" si="161"/>
        <v>0</v>
      </c>
      <c r="K145" s="14">
        <f t="shared" si="161"/>
        <v>0</v>
      </c>
      <c r="L145" s="14">
        <f t="shared" si="161"/>
        <v>0</v>
      </c>
      <c r="M145" s="14">
        <f t="shared" si="161"/>
        <v>0</v>
      </c>
      <c r="N145" s="14">
        <f t="shared" si="161"/>
        <v>0</v>
      </c>
      <c r="O145" s="224"/>
      <c r="Q145" s="161">
        <v>127</v>
      </c>
      <c r="R145" s="161">
        <f t="shared" si="111"/>
        <v>0</v>
      </c>
      <c r="S145" s="161">
        <f t="shared" si="138"/>
        <v>0</v>
      </c>
      <c r="T145" s="161">
        <f t="shared" si="139"/>
        <v>0</v>
      </c>
      <c r="U145" s="161">
        <f t="shared" si="140"/>
        <v>0</v>
      </c>
      <c r="V145" s="161">
        <f t="shared" si="141"/>
        <v>0</v>
      </c>
      <c r="W145" s="161">
        <f t="shared" si="142"/>
        <v>0</v>
      </c>
      <c r="X145" s="161">
        <f t="shared" si="143"/>
        <v>0</v>
      </c>
      <c r="Y145" s="161">
        <f t="shared" si="144"/>
        <v>0</v>
      </c>
      <c r="Z145" s="161">
        <f t="shared" si="145"/>
        <v>0</v>
      </c>
      <c r="AA145" s="161">
        <f t="shared" si="146"/>
        <v>0</v>
      </c>
      <c r="AC145" s="168">
        <v>127</v>
      </c>
      <c r="AD145" s="213">
        <f t="shared" ca="1" si="106"/>
        <v>49013</v>
      </c>
      <c r="AE145" s="260">
        <f t="shared" si="125"/>
        <v>0</v>
      </c>
      <c r="AG145" s="233">
        <v>127</v>
      </c>
      <c r="AH145" s="213">
        <f t="shared" ca="1" si="107"/>
        <v>49013</v>
      </c>
      <c r="AI145" s="260">
        <f t="shared" si="103"/>
        <v>0</v>
      </c>
      <c r="AJ145" s="215">
        <f t="shared" ca="1" si="104"/>
        <v>0</v>
      </c>
      <c r="AK145" s="168">
        <v>127</v>
      </c>
      <c r="AL145" s="213">
        <f t="shared" ca="1" si="108"/>
        <v>49013</v>
      </c>
      <c r="AM145" s="260">
        <f t="shared" si="105"/>
        <v>0</v>
      </c>
      <c r="AO145" s="161">
        <v>127</v>
      </c>
      <c r="AP145" s="117">
        <f t="shared" si="147"/>
        <v>0</v>
      </c>
      <c r="AQ145" s="117">
        <f t="shared" si="148"/>
        <v>0</v>
      </c>
      <c r="AR145" s="117">
        <f t="shared" si="149"/>
        <v>0</v>
      </c>
      <c r="AS145" s="161">
        <f t="shared" si="150"/>
        <v>0</v>
      </c>
      <c r="AT145" s="161">
        <f t="shared" si="151"/>
        <v>0</v>
      </c>
      <c r="AU145" s="161">
        <f t="shared" si="152"/>
        <v>0</v>
      </c>
      <c r="AV145" s="161">
        <f t="shared" si="153"/>
        <v>0</v>
      </c>
      <c r="AW145" s="161">
        <f t="shared" si="154"/>
        <v>0</v>
      </c>
      <c r="AX145" s="161">
        <f t="shared" si="155"/>
        <v>0</v>
      </c>
      <c r="AY145" s="161">
        <f t="shared" si="156"/>
        <v>0</v>
      </c>
      <c r="BD145" s="186" t="str">
        <f t="shared" si="157"/>
        <v>1PREF PERUIBE</v>
      </c>
      <c r="BE145" s="186">
        <f t="shared" si="158"/>
        <v>1</v>
      </c>
      <c r="BF145" s="209" t="str">
        <f>'Base tabelas'!A124</f>
        <v>PREF PERUIBE</v>
      </c>
      <c r="BG145" s="209" t="str">
        <f>'Base tabelas'!B124</f>
        <v>795543 - Tabela 3</v>
      </c>
      <c r="BH145" s="209">
        <f>'Base tabelas'!C124</f>
        <v>1.9900000000000001E-2</v>
      </c>
      <c r="BI145" s="209">
        <f>'Base tabelas'!D124</f>
        <v>120</v>
      </c>
      <c r="BJ145" s="209" t="str">
        <f>'Base tabelas'!E124</f>
        <v/>
      </c>
      <c r="BK145" s="209">
        <f>'Base tabelas'!F124</f>
        <v>2.19</v>
      </c>
      <c r="BL145" s="209">
        <f>'Base tabelas'!G124</f>
        <v>15</v>
      </c>
      <c r="BM145" s="209">
        <f>'Base tabelas'!H124</f>
        <v>41</v>
      </c>
      <c r="BN145" s="209" t="str">
        <f>'Base tabelas'!I124</f>
        <v>RFN - PREF. PERUIBE DIG 3 PORTAB</v>
      </c>
      <c r="BO145" s="209" t="str">
        <f>'Base tabelas'!J124</f>
        <v>1,74</v>
      </c>
      <c r="BP145" s="209">
        <f>'Base tabelas'!K124</f>
        <v>1.7399999999999999E-2</v>
      </c>
      <c r="BQ145" s="277">
        <f t="shared" si="122"/>
        <v>2.2791217643555645E-2</v>
      </c>
      <c r="BR145" s="278">
        <f t="shared" si="123"/>
        <v>2.1899999999999999E-2</v>
      </c>
      <c r="BS145" s="279">
        <v>2.9999999999999997E-4</v>
      </c>
    </row>
    <row r="146" spans="3:71" hidden="1" x14ac:dyDescent="0.25">
      <c r="C146">
        <v>97</v>
      </c>
      <c r="D146" s="10">
        <f t="shared" ca="1" si="137"/>
        <v>48101</v>
      </c>
      <c r="E146" s="14">
        <f t="shared" si="161"/>
        <v>0</v>
      </c>
      <c r="F146" s="14">
        <f t="shared" si="161"/>
        <v>0</v>
      </c>
      <c r="G146" s="14">
        <f t="shared" si="161"/>
        <v>0</v>
      </c>
      <c r="H146" s="14">
        <f t="shared" si="161"/>
        <v>0</v>
      </c>
      <c r="I146" s="14">
        <f t="shared" si="161"/>
        <v>0</v>
      </c>
      <c r="J146" s="14">
        <f t="shared" si="161"/>
        <v>0</v>
      </c>
      <c r="K146" s="14">
        <f t="shared" si="161"/>
        <v>0</v>
      </c>
      <c r="L146" s="14">
        <f t="shared" si="161"/>
        <v>0</v>
      </c>
      <c r="M146" s="14">
        <f t="shared" si="161"/>
        <v>0</v>
      </c>
      <c r="N146" s="14">
        <f t="shared" si="161"/>
        <v>0</v>
      </c>
      <c r="O146" s="224"/>
      <c r="Q146" s="161">
        <v>128</v>
      </c>
      <c r="R146" s="161">
        <f t="shared" si="111"/>
        <v>0</v>
      </c>
      <c r="S146" s="161">
        <f t="shared" si="138"/>
        <v>0</v>
      </c>
      <c r="T146" s="161">
        <f t="shared" si="139"/>
        <v>0</v>
      </c>
      <c r="U146" s="161">
        <f t="shared" si="140"/>
        <v>0</v>
      </c>
      <c r="V146" s="161">
        <f t="shared" si="141"/>
        <v>0</v>
      </c>
      <c r="W146" s="161">
        <f t="shared" si="142"/>
        <v>0</v>
      </c>
      <c r="X146" s="161">
        <f t="shared" si="143"/>
        <v>0</v>
      </c>
      <c r="Y146" s="161">
        <f t="shared" si="144"/>
        <v>0</v>
      </c>
      <c r="Z146" s="161">
        <f t="shared" si="145"/>
        <v>0</v>
      </c>
      <c r="AA146" s="161">
        <f t="shared" si="146"/>
        <v>0</v>
      </c>
      <c r="AC146" s="168">
        <v>128</v>
      </c>
      <c r="AD146" s="213">
        <f t="shared" ca="1" si="106"/>
        <v>49044</v>
      </c>
      <c r="AE146" s="260">
        <f t="shared" si="125"/>
        <v>0</v>
      </c>
      <c r="AG146" s="233">
        <v>128</v>
      </c>
      <c r="AH146" s="213">
        <f t="shared" ca="1" si="107"/>
        <v>49044</v>
      </c>
      <c r="AI146" s="260">
        <f t="shared" si="103"/>
        <v>0</v>
      </c>
      <c r="AJ146" s="215">
        <f t="shared" ca="1" si="104"/>
        <v>0</v>
      </c>
      <c r="AK146" s="168">
        <v>128</v>
      </c>
      <c r="AL146" s="213">
        <f t="shared" ca="1" si="108"/>
        <v>49044</v>
      </c>
      <c r="AM146" s="260">
        <f t="shared" si="105"/>
        <v>0</v>
      </c>
      <c r="AO146" s="161">
        <v>128</v>
      </c>
      <c r="AP146" s="117">
        <f t="shared" si="147"/>
        <v>0</v>
      </c>
      <c r="AQ146" s="117">
        <f t="shared" si="148"/>
        <v>0</v>
      </c>
      <c r="AR146" s="117">
        <f t="shared" si="149"/>
        <v>0</v>
      </c>
      <c r="AS146" s="161">
        <f t="shared" si="150"/>
        <v>0</v>
      </c>
      <c r="AT146" s="161">
        <f t="shared" si="151"/>
        <v>0</v>
      </c>
      <c r="AU146" s="161">
        <f t="shared" si="152"/>
        <v>0</v>
      </c>
      <c r="AV146" s="161">
        <f t="shared" si="153"/>
        <v>0</v>
      </c>
      <c r="AW146" s="161">
        <f t="shared" si="154"/>
        <v>0</v>
      </c>
      <c r="AX146" s="161">
        <f t="shared" si="155"/>
        <v>0</v>
      </c>
      <c r="AY146" s="161">
        <f t="shared" si="156"/>
        <v>0</v>
      </c>
      <c r="BD146" s="186" t="str">
        <f t="shared" si="157"/>
        <v>1PREF PG</v>
      </c>
      <c r="BE146" s="186">
        <f t="shared" si="158"/>
        <v>1</v>
      </c>
      <c r="BF146" s="209" t="str">
        <f>'Base tabelas'!A125</f>
        <v>PREF PG</v>
      </c>
      <c r="BG146" s="209" t="str">
        <f>'Base tabelas'!B125</f>
        <v>755071 - Tabela 1</v>
      </c>
      <c r="BH146" s="209">
        <f>'Base tabelas'!C125</f>
        <v>2.0899999999999998E-2</v>
      </c>
      <c r="BI146" s="209">
        <f>'Base tabelas'!D125</f>
        <v>96</v>
      </c>
      <c r="BJ146" s="209" t="str">
        <f>'Base tabelas'!E125</f>
        <v/>
      </c>
      <c r="BK146" s="209">
        <f>'Base tabelas'!F125</f>
        <v>2.09</v>
      </c>
      <c r="BL146" s="209">
        <f>'Base tabelas'!G125</f>
        <v>15</v>
      </c>
      <c r="BM146" s="209">
        <f>'Base tabelas'!H125</f>
        <v>65</v>
      </c>
      <c r="BN146" s="209" t="str">
        <f>'Base tabelas'!I125</f>
        <v>RFN - PREF PRAIA GRANDE DIG 1 PORTAB</v>
      </c>
      <c r="BO146" s="209" t="str">
        <f>'Base tabelas'!J125</f>
        <v>1,67</v>
      </c>
      <c r="BP146" s="209">
        <f>'Base tabelas'!K125</f>
        <v>1.67E-2</v>
      </c>
      <c r="BQ146" s="277">
        <f t="shared" si="122"/>
        <v>2.5566221335807174E-2</v>
      </c>
      <c r="BR146" s="278">
        <f t="shared" si="123"/>
        <v>2.0899999999999998E-2</v>
      </c>
      <c r="BS146" s="279">
        <v>2.9999999999999997E-4</v>
      </c>
    </row>
    <row r="147" spans="3:71" hidden="1" x14ac:dyDescent="0.25">
      <c r="C147">
        <v>98</v>
      </c>
      <c r="D147" s="10">
        <f t="shared" ref="D147:D179" ca="1" si="162">EDATE(D146,1)</f>
        <v>48131</v>
      </c>
      <c r="E147" s="14">
        <f t="shared" si="161"/>
        <v>0</v>
      </c>
      <c r="F147" s="14">
        <f t="shared" si="161"/>
        <v>0</v>
      </c>
      <c r="G147" s="14">
        <f t="shared" si="161"/>
        <v>0</v>
      </c>
      <c r="H147" s="14">
        <f t="shared" si="161"/>
        <v>0</v>
      </c>
      <c r="I147" s="14">
        <f t="shared" si="161"/>
        <v>0</v>
      </c>
      <c r="J147" s="14">
        <f t="shared" si="161"/>
        <v>0</v>
      </c>
      <c r="K147" s="14">
        <f t="shared" si="161"/>
        <v>0</v>
      </c>
      <c r="L147" s="14">
        <f t="shared" si="161"/>
        <v>0</v>
      </c>
      <c r="M147" s="14">
        <f t="shared" si="161"/>
        <v>0</v>
      </c>
      <c r="N147" s="14">
        <f t="shared" si="161"/>
        <v>0</v>
      </c>
      <c r="O147" s="224"/>
      <c r="Q147" s="161">
        <v>129</v>
      </c>
      <c r="R147" s="161">
        <f t="shared" si="111"/>
        <v>0</v>
      </c>
      <c r="S147" s="161">
        <f t="shared" si="138"/>
        <v>0</v>
      </c>
      <c r="T147" s="161">
        <f t="shared" si="139"/>
        <v>0</v>
      </c>
      <c r="U147" s="161">
        <f t="shared" si="140"/>
        <v>0</v>
      </c>
      <c r="V147" s="161">
        <f t="shared" si="141"/>
        <v>0</v>
      </c>
      <c r="W147" s="161">
        <f t="shared" si="142"/>
        <v>0</v>
      </c>
      <c r="X147" s="161">
        <f t="shared" si="143"/>
        <v>0</v>
      </c>
      <c r="Y147" s="161">
        <f t="shared" si="144"/>
        <v>0</v>
      </c>
      <c r="Z147" s="161">
        <f t="shared" si="145"/>
        <v>0</v>
      </c>
      <c r="AA147" s="161">
        <f t="shared" si="146"/>
        <v>0</v>
      </c>
      <c r="AC147" s="168">
        <v>129</v>
      </c>
      <c r="AD147" s="213">
        <f t="shared" ca="1" si="106"/>
        <v>49074</v>
      </c>
      <c r="AE147" s="260">
        <f t="shared" si="125"/>
        <v>0</v>
      </c>
      <c r="AG147" s="233">
        <v>129</v>
      </c>
      <c r="AH147" s="213">
        <f t="shared" ca="1" si="107"/>
        <v>49074</v>
      </c>
      <c r="AI147" s="260">
        <f t="shared" si="103"/>
        <v>0</v>
      </c>
      <c r="AJ147" s="215">
        <f t="shared" ca="1" si="104"/>
        <v>0</v>
      </c>
      <c r="AK147" s="168">
        <v>129</v>
      </c>
      <c r="AL147" s="213">
        <f t="shared" ca="1" si="108"/>
        <v>49074</v>
      </c>
      <c r="AM147" s="260">
        <f t="shared" si="105"/>
        <v>0</v>
      </c>
      <c r="AO147" s="161">
        <v>129</v>
      </c>
      <c r="AP147" s="117">
        <f t="shared" si="147"/>
        <v>0</v>
      </c>
      <c r="AQ147" s="117">
        <f t="shared" si="148"/>
        <v>0</v>
      </c>
      <c r="AR147" s="117">
        <f t="shared" si="149"/>
        <v>0</v>
      </c>
      <c r="AS147" s="161">
        <f t="shared" si="150"/>
        <v>0</v>
      </c>
      <c r="AT147" s="161">
        <f t="shared" si="151"/>
        <v>0</v>
      </c>
      <c r="AU147" s="161">
        <f t="shared" si="152"/>
        <v>0</v>
      </c>
      <c r="AV147" s="161">
        <f t="shared" si="153"/>
        <v>0</v>
      </c>
      <c r="AW147" s="161">
        <f t="shared" si="154"/>
        <v>0</v>
      </c>
      <c r="AX147" s="161">
        <f t="shared" si="155"/>
        <v>0</v>
      </c>
      <c r="AY147" s="161">
        <f t="shared" si="156"/>
        <v>0</v>
      </c>
      <c r="BD147" s="186" t="str">
        <f t="shared" si="157"/>
        <v>2PREF PG</v>
      </c>
      <c r="BE147" s="186">
        <f t="shared" si="158"/>
        <v>2</v>
      </c>
      <c r="BF147" s="209" t="str">
        <f>'Base tabelas'!A126</f>
        <v>PREF PG</v>
      </c>
      <c r="BG147" s="209" t="str">
        <f>'Base tabelas'!B126</f>
        <v>755072 - Tabela 2</v>
      </c>
      <c r="BH147" s="209">
        <f>'Base tabelas'!C126</f>
        <v>1.9900000000000001E-2</v>
      </c>
      <c r="BI147" s="209">
        <f>'Base tabelas'!D126</f>
        <v>96</v>
      </c>
      <c r="BJ147" s="209" t="str">
        <f>'Base tabelas'!E126</f>
        <v/>
      </c>
      <c r="BK147" s="209">
        <f>'Base tabelas'!F126</f>
        <v>2.09</v>
      </c>
      <c r="BL147" s="209">
        <f>'Base tabelas'!G126</f>
        <v>15</v>
      </c>
      <c r="BM147" s="209">
        <f>'Base tabelas'!H126</f>
        <v>50</v>
      </c>
      <c r="BN147" s="209" t="str">
        <f>'Base tabelas'!I126</f>
        <v>RFN - PREF PRAIA GRANDE DIG 2 PORTAB</v>
      </c>
      <c r="BO147" s="209" t="str">
        <f>'Base tabelas'!J126</f>
        <v>1,67</v>
      </c>
      <c r="BP147" s="209">
        <f>'Base tabelas'!K126</f>
        <v>1.67E-2</v>
      </c>
      <c r="BQ147" s="277">
        <f t="shared" si="122"/>
        <v>2.4460732323653724E-2</v>
      </c>
      <c r="BR147" s="278">
        <f t="shared" si="123"/>
        <v>2.0899999999999998E-2</v>
      </c>
      <c r="BS147" s="279">
        <v>2.9999999999999997E-4</v>
      </c>
    </row>
    <row r="148" spans="3:71" hidden="1" x14ac:dyDescent="0.25">
      <c r="C148">
        <v>99</v>
      </c>
      <c r="D148" s="10">
        <f t="shared" ca="1" si="162"/>
        <v>48162</v>
      </c>
      <c r="E148" s="14">
        <f t="shared" si="161"/>
        <v>0</v>
      </c>
      <c r="F148" s="14">
        <f t="shared" si="161"/>
        <v>0</v>
      </c>
      <c r="G148" s="14">
        <f t="shared" si="161"/>
        <v>0</v>
      </c>
      <c r="H148" s="14">
        <f t="shared" si="161"/>
        <v>0</v>
      </c>
      <c r="I148" s="14">
        <f t="shared" si="161"/>
        <v>0</v>
      </c>
      <c r="J148" s="14">
        <f t="shared" si="161"/>
        <v>0</v>
      </c>
      <c r="K148" s="14">
        <f t="shared" si="161"/>
        <v>0</v>
      </c>
      <c r="L148" s="14">
        <f t="shared" si="161"/>
        <v>0</v>
      </c>
      <c r="M148" s="14">
        <f t="shared" si="161"/>
        <v>0</v>
      </c>
      <c r="N148" s="14">
        <f t="shared" si="161"/>
        <v>0</v>
      </c>
      <c r="O148" s="224"/>
      <c r="Q148" s="161">
        <v>130</v>
      </c>
      <c r="R148" s="161">
        <f t="shared" si="111"/>
        <v>0</v>
      </c>
      <c r="S148" s="161">
        <f t="shared" si="138"/>
        <v>0</v>
      </c>
      <c r="T148" s="161">
        <f t="shared" si="139"/>
        <v>0</v>
      </c>
      <c r="U148" s="161">
        <f t="shared" si="140"/>
        <v>0</v>
      </c>
      <c r="V148" s="161">
        <f t="shared" si="141"/>
        <v>0</v>
      </c>
      <c r="W148" s="161">
        <f t="shared" si="142"/>
        <v>0</v>
      </c>
      <c r="X148" s="161">
        <f t="shared" si="143"/>
        <v>0</v>
      </c>
      <c r="Y148" s="161">
        <f t="shared" si="144"/>
        <v>0</v>
      </c>
      <c r="Z148" s="161">
        <f t="shared" si="145"/>
        <v>0</v>
      </c>
      <c r="AA148" s="161">
        <f t="shared" si="146"/>
        <v>0</v>
      </c>
      <c r="AC148" s="168">
        <v>130</v>
      </c>
      <c r="AD148" s="213">
        <f t="shared" ca="1" si="106"/>
        <v>49105</v>
      </c>
      <c r="AE148" s="260">
        <f t="shared" si="125"/>
        <v>0</v>
      </c>
      <c r="AG148" s="233">
        <v>130</v>
      </c>
      <c r="AH148" s="213">
        <f t="shared" ca="1" si="107"/>
        <v>49105</v>
      </c>
      <c r="AI148" s="260">
        <f t="shared" ref="AI148:AI162" si="163">IF(AG148&gt;$AM$14,0,AM148-AE148)</f>
        <v>0</v>
      </c>
      <c r="AJ148" s="215">
        <f t="shared" ref="AJ148:AJ162" ca="1" si="164">AI148/(1+$AI$15)^((AH148-$AH$18)/30)</f>
        <v>0</v>
      </c>
      <c r="AK148" s="168">
        <v>130</v>
      </c>
      <c r="AL148" s="213">
        <f t="shared" ca="1" si="108"/>
        <v>49105</v>
      </c>
      <c r="AM148" s="260">
        <f t="shared" ref="AM148:AM162" si="165">IF(AK148&gt;$AM$14,0,$AM$13)</f>
        <v>0</v>
      </c>
      <c r="AO148" s="161">
        <v>130</v>
      </c>
      <c r="AP148" s="117">
        <f t="shared" si="147"/>
        <v>0</v>
      </c>
      <c r="AQ148" s="117">
        <f t="shared" si="148"/>
        <v>0</v>
      </c>
      <c r="AR148" s="117">
        <f t="shared" si="149"/>
        <v>0</v>
      </c>
      <c r="AS148" s="161">
        <f t="shared" si="150"/>
        <v>0</v>
      </c>
      <c r="AT148" s="161">
        <f t="shared" si="151"/>
        <v>0</v>
      </c>
      <c r="AU148" s="161">
        <f t="shared" si="152"/>
        <v>0</v>
      </c>
      <c r="AV148" s="161">
        <f t="shared" si="153"/>
        <v>0</v>
      </c>
      <c r="AW148" s="161">
        <f t="shared" si="154"/>
        <v>0</v>
      </c>
      <c r="AX148" s="161">
        <f t="shared" si="155"/>
        <v>0</v>
      </c>
      <c r="AY148" s="161">
        <f t="shared" si="156"/>
        <v>0</v>
      </c>
      <c r="BD148" s="186" t="str">
        <f t="shared" si="157"/>
        <v>3PREF PG</v>
      </c>
      <c r="BE148" s="186">
        <f t="shared" si="158"/>
        <v>3</v>
      </c>
      <c r="BF148" s="209" t="str">
        <f>'Base tabelas'!A127</f>
        <v>PREF PG</v>
      </c>
      <c r="BG148" s="209" t="str">
        <f>'Base tabelas'!B127</f>
        <v>755073 - Tabela 3</v>
      </c>
      <c r="BH148" s="209">
        <f>'Base tabelas'!C127</f>
        <v>1.9199999999999998E-2</v>
      </c>
      <c r="BI148" s="209">
        <f>'Base tabelas'!D127</f>
        <v>96</v>
      </c>
      <c r="BJ148" s="209" t="str">
        <f>'Base tabelas'!E127</f>
        <v/>
      </c>
      <c r="BK148" s="209">
        <f>'Base tabelas'!F127</f>
        <v>2.09</v>
      </c>
      <c r="BL148" s="209">
        <f>'Base tabelas'!G127</f>
        <v>15</v>
      </c>
      <c r="BM148" s="209">
        <f>'Base tabelas'!H127</f>
        <v>49</v>
      </c>
      <c r="BN148" s="209" t="str">
        <f>'Base tabelas'!I127</f>
        <v>RFN - PREF PRAIA GRANDE DIG 3 PORTAB</v>
      </c>
      <c r="BO148" s="209" t="str">
        <f>'Base tabelas'!J127</f>
        <v>1,67</v>
      </c>
      <c r="BP148" s="209">
        <f>'Base tabelas'!K127</f>
        <v>1.67E-2</v>
      </c>
      <c r="BQ148" s="277">
        <f t="shared" si="122"/>
        <v>2.3863328225559841E-2</v>
      </c>
      <c r="BR148" s="278">
        <f t="shared" si="123"/>
        <v>2.0899999999999998E-2</v>
      </c>
      <c r="BS148" s="279">
        <v>2.9999999999999997E-4</v>
      </c>
    </row>
    <row r="149" spans="3:71" hidden="1" x14ac:dyDescent="0.25">
      <c r="C149">
        <v>100</v>
      </c>
      <c r="D149" s="10">
        <f t="shared" ca="1" si="162"/>
        <v>48192</v>
      </c>
      <c r="E149" s="14">
        <f t="shared" si="161"/>
        <v>0</v>
      </c>
      <c r="F149" s="14">
        <f t="shared" si="161"/>
        <v>0</v>
      </c>
      <c r="G149" s="14">
        <f t="shared" si="161"/>
        <v>0</v>
      </c>
      <c r="H149" s="14">
        <f t="shared" si="161"/>
        <v>0</v>
      </c>
      <c r="I149" s="14">
        <f t="shared" si="161"/>
        <v>0</v>
      </c>
      <c r="J149" s="14">
        <f t="shared" si="161"/>
        <v>0</v>
      </c>
      <c r="K149" s="14">
        <f t="shared" si="161"/>
        <v>0</v>
      </c>
      <c r="L149" s="14">
        <f t="shared" si="161"/>
        <v>0</v>
      </c>
      <c r="M149" s="14">
        <f t="shared" si="161"/>
        <v>0</v>
      </c>
      <c r="N149" s="14">
        <f t="shared" si="161"/>
        <v>0</v>
      </c>
      <c r="O149" s="224"/>
      <c r="Q149" s="161">
        <v>131</v>
      </c>
      <c r="R149" s="161">
        <f t="shared" si="111"/>
        <v>0</v>
      </c>
      <c r="S149" s="161">
        <f t="shared" si="138"/>
        <v>0</v>
      </c>
      <c r="T149" s="161">
        <f t="shared" si="139"/>
        <v>0</v>
      </c>
      <c r="U149" s="161">
        <f t="shared" si="140"/>
        <v>0</v>
      </c>
      <c r="V149" s="161">
        <f t="shared" si="141"/>
        <v>0</v>
      </c>
      <c r="W149" s="161">
        <f t="shared" si="142"/>
        <v>0</v>
      </c>
      <c r="X149" s="161">
        <f t="shared" si="143"/>
        <v>0</v>
      </c>
      <c r="Y149" s="161">
        <f t="shared" si="144"/>
        <v>0</v>
      </c>
      <c r="Z149" s="161">
        <f t="shared" si="145"/>
        <v>0</v>
      </c>
      <c r="AA149" s="161">
        <f t="shared" si="146"/>
        <v>0</v>
      </c>
      <c r="AC149" s="168">
        <v>131</v>
      </c>
      <c r="AD149" s="213">
        <f t="shared" ca="1" si="106"/>
        <v>49135</v>
      </c>
      <c r="AE149" s="260">
        <f t="shared" si="125"/>
        <v>0</v>
      </c>
      <c r="AG149" s="233">
        <v>131</v>
      </c>
      <c r="AH149" s="213">
        <f t="shared" ca="1" si="107"/>
        <v>49135</v>
      </c>
      <c r="AI149" s="260">
        <f t="shared" si="163"/>
        <v>0</v>
      </c>
      <c r="AJ149" s="215">
        <f t="shared" ca="1" si="164"/>
        <v>0</v>
      </c>
      <c r="AK149" s="168">
        <v>131</v>
      </c>
      <c r="AL149" s="213">
        <f t="shared" ca="1" si="108"/>
        <v>49135</v>
      </c>
      <c r="AM149" s="260">
        <f t="shared" si="165"/>
        <v>0</v>
      </c>
      <c r="AO149" s="161">
        <v>131</v>
      </c>
      <c r="AP149" s="117">
        <f t="shared" si="147"/>
        <v>0</v>
      </c>
      <c r="AQ149" s="117">
        <f t="shared" si="148"/>
        <v>0</v>
      </c>
      <c r="AR149" s="117">
        <f t="shared" si="149"/>
        <v>0</v>
      </c>
      <c r="AS149" s="161">
        <f t="shared" si="150"/>
        <v>0</v>
      </c>
      <c r="AT149" s="161">
        <f t="shared" si="151"/>
        <v>0</v>
      </c>
      <c r="AU149" s="161">
        <f t="shared" si="152"/>
        <v>0</v>
      </c>
      <c r="AV149" s="161">
        <f t="shared" si="153"/>
        <v>0</v>
      </c>
      <c r="AW149" s="161">
        <f t="shared" si="154"/>
        <v>0</v>
      </c>
      <c r="AX149" s="161">
        <f t="shared" si="155"/>
        <v>0</v>
      </c>
      <c r="AY149" s="161">
        <f t="shared" si="156"/>
        <v>0</v>
      </c>
      <c r="BD149" s="186" t="str">
        <f t="shared" si="157"/>
        <v>1PREF S JOSE SC</v>
      </c>
      <c r="BE149" s="186">
        <f t="shared" si="158"/>
        <v>1</v>
      </c>
      <c r="BF149" s="209" t="str">
        <f>'Base tabelas'!A128</f>
        <v>PREF S JOSE SC</v>
      </c>
      <c r="BG149" s="209" t="str">
        <f>'Base tabelas'!B128</f>
        <v>775757 - Tabela 1</v>
      </c>
      <c r="BH149" s="209">
        <f>'Base tabelas'!C128</f>
        <v>1.95E-2</v>
      </c>
      <c r="BI149" s="209">
        <f>'Base tabelas'!D128</f>
        <v>120</v>
      </c>
      <c r="BJ149" s="209" t="str">
        <f>'Base tabelas'!E128</f>
        <v/>
      </c>
      <c r="BK149" s="209">
        <f>'Base tabelas'!F128</f>
        <v>1.95</v>
      </c>
      <c r="BL149" s="209">
        <f>'Base tabelas'!G128</f>
        <v>10</v>
      </c>
      <c r="BM149" s="209">
        <f>'Base tabelas'!H128</f>
        <v>44</v>
      </c>
      <c r="BN149" s="209" t="str">
        <f>'Base tabelas'!I128</f>
        <v>RFN - PREF SAO JOSE SC PORTAB 1 DIG</v>
      </c>
      <c r="BO149" s="209" t="str">
        <f>'Base tabelas'!J128</f>
        <v>1,65</v>
      </c>
      <c r="BP149" s="209">
        <f>'Base tabelas'!K128</f>
        <v>1.6500000000000001E-2</v>
      </c>
      <c r="BQ149" s="277">
        <f t="shared" si="122"/>
        <v>2.2485488493646899E-2</v>
      </c>
      <c r="BR149" s="278">
        <f t="shared" si="123"/>
        <v>1.95E-2</v>
      </c>
      <c r="BS149" s="279">
        <v>2.9999999999999997E-4</v>
      </c>
    </row>
    <row r="150" spans="3:71" hidden="1" x14ac:dyDescent="0.25">
      <c r="C150">
        <v>101</v>
      </c>
      <c r="D150" s="10">
        <f t="shared" ca="1" si="162"/>
        <v>48223</v>
      </c>
      <c r="E150" s="14">
        <f t="shared" ref="E150:N159" si="166">IF($C150&lt;=E$17,E$18/(($D$48+1)^(($D150-$D$49)/30)),0)</f>
        <v>0</v>
      </c>
      <c r="F150" s="14">
        <f t="shared" si="166"/>
        <v>0</v>
      </c>
      <c r="G150" s="14">
        <f t="shared" si="166"/>
        <v>0</v>
      </c>
      <c r="H150" s="14">
        <f t="shared" si="166"/>
        <v>0</v>
      </c>
      <c r="I150" s="14">
        <f t="shared" si="166"/>
        <v>0</v>
      </c>
      <c r="J150" s="14">
        <f t="shared" si="166"/>
        <v>0</v>
      </c>
      <c r="K150" s="14">
        <f t="shared" si="166"/>
        <v>0</v>
      </c>
      <c r="L150" s="14">
        <f t="shared" si="166"/>
        <v>0</v>
      </c>
      <c r="M150" s="14">
        <f t="shared" si="166"/>
        <v>0</v>
      </c>
      <c r="N150" s="14">
        <f t="shared" si="166"/>
        <v>0</v>
      </c>
      <c r="O150" s="224"/>
      <c r="Q150" s="161">
        <v>132</v>
      </c>
      <c r="R150" s="161">
        <f t="shared" si="111"/>
        <v>0</v>
      </c>
      <c r="S150" s="161">
        <f t="shared" si="138"/>
        <v>0</v>
      </c>
      <c r="T150" s="161">
        <f t="shared" si="139"/>
        <v>0</v>
      </c>
      <c r="U150" s="161">
        <f t="shared" si="140"/>
        <v>0</v>
      </c>
      <c r="V150" s="161">
        <f t="shared" si="141"/>
        <v>0</v>
      </c>
      <c r="W150" s="161">
        <f t="shared" si="142"/>
        <v>0</v>
      </c>
      <c r="X150" s="161">
        <f t="shared" si="143"/>
        <v>0</v>
      </c>
      <c r="Y150" s="161">
        <f t="shared" si="144"/>
        <v>0</v>
      </c>
      <c r="Z150" s="161">
        <f t="shared" si="145"/>
        <v>0</v>
      </c>
      <c r="AA150" s="161">
        <f t="shared" si="146"/>
        <v>0</v>
      </c>
      <c r="AC150" s="168">
        <v>132</v>
      </c>
      <c r="AD150" s="213">
        <f t="shared" ref="AD150:AD162" ca="1" si="167">EDATE(AD149,1)</f>
        <v>49166</v>
      </c>
      <c r="AE150" s="260">
        <f t="shared" si="125"/>
        <v>0</v>
      </c>
      <c r="AG150" s="233">
        <v>132</v>
      </c>
      <c r="AH150" s="213">
        <f t="shared" ref="AH150:AH162" ca="1" si="168">EDATE(AH149,1)</f>
        <v>49166</v>
      </c>
      <c r="AI150" s="260">
        <f t="shared" si="163"/>
        <v>0</v>
      </c>
      <c r="AJ150" s="215">
        <f t="shared" ca="1" si="164"/>
        <v>0</v>
      </c>
      <c r="AK150" s="168">
        <v>132</v>
      </c>
      <c r="AL150" s="213">
        <f t="shared" ref="AL150:AL162" ca="1" si="169">EDATE(AL149,1)</f>
        <v>49166</v>
      </c>
      <c r="AM150" s="260">
        <f t="shared" si="165"/>
        <v>0</v>
      </c>
      <c r="AO150" s="161">
        <v>132</v>
      </c>
      <c r="AP150" s="117">
        <f t="shared" si="147"/>
        <v>0</v>
      </c>
      <c r="AQ150" s="117">
        <f t="shared" si="148"/>
        <v>0</v>
      </c>
      <c r="AR150" s="117">
        <f t="shared" si="149"/>
        <v>0</v>
      </c>
      <c r="AS150" s="161">
        <f t="shared" si="150"/>
        <v>0</v>
      </c>
      <c r="AT150" s="161">
        <f t="shared" si="151"/>
        <v>0</v>
      </c>
      <c r="AU150" s="161">
        <f t="shared" si="152"/>
        <v>0</v>
      </c>
      <c r="AV150" s="161">
        <f t="shared" si="153"/>
        <v>0</v>
      </c>
      <c r="AW150" s="161">
        <f t="shared" si="154"/>
        <v>0</v>
      </c>
      <c r="AX150" s="161">
        <f t="shared" si="155"/>
        <v>0</v>
      </c>
      <c r="AY150" s="161">
        <f t="shared" si="156"/>
        <v>0</v>
      </c>
      <c r="BD150" s="186" t="str">
        <f t="shared" si="157"/>
        <v>1PREF SALVAD MAR</v>
      </c>
      <c r="BE150" s="186">
        <f t="shared" si="158"/>
        <v>1</v>
      </c>
      <c r="BF150" s="209" t="str">
        <f>'Base tabelas'!A129</f>
        <v>PREF SALVAD MAR</v>
      </c>
      <c r="BG150" s="209" t="str">
        <f>'Base tabelas'!B129</f>
        <v>705231 - Tabela 1</v>
      </c>
      <c r="BH150" s="209">
        <f>'Base tabelas'!C129</f>
        <v>2.2000000000000002E-2</v>
      </c>
      <c r="BI150" s="209">
        <f>'Base tabelas'!D129</f>
        <v>120</v>
      </c>
      <c r="BJ150" s="209" t="str">
        <f>'Base tabelas'!E129</f>
        <v/>
      </c>
      <c r="BK150" s="209">
        <f>'Base tabelas'!F129</f>
        <v>2.2000000000000002</v>
      </c>
      <c r="BL150" s="209">
        <f>'Base tabelas'!G129</f>
        <v>10</v>
      </c>
      <c r="BM150" s="209">
        <f>'Base tabelas'!H129</f>
        <v>50</v>
      </c>
      <c r="BN150" s="209" t="str">
        <f>'Base tabelas'!I129</f>
        <v>RFN - PREF SALVADOR DIG EST 1 PORTAB</v>
      </c>
      <c r="BO150" s="209" t="str">
        <f>'Base tabelas'!J129</f>
        <v>1,53</v>
      </c>
      <c r="BP150" s="209">
        <f>'Base tabelas'!K129</f>
        <v>1.5300000000000001E-2</v>
      </c>
      <c r="BQ150" s="277">
        <f t="shared" si="122"/>
        <v>2.4817352285755059E-2</v>
      </c>
      <c r="BR150" s="278">
        <f t="shared" si="123"/>
        <v>2.2000000000000002E-2</v>
      </c>
      <c r="BS150" s="279">
        <v>2.9999999999999997E-4</v>
      </c>
    </row>
    <row r="151" spans="3:71" hidden="1" x14ac:dyDescent="0.25">
      <c r="C151">
        <v>102</v>
      </c>
      <c r="D151" s="10">
        <f t="shared" ca="1" si="162"/>
        <v>48254</v>
      </c>
      <c r="E151" s="14">
        <f t="shared" si="166"/>
        <v>0</v>
      </c>
      <c r="F151" s="14">
        <f t="shared" si="166"/>
        <v>0</v>
      </c>
      <c r="G151" s="14">
        <f t="shared" si="166"/>
        <v>0</v>
      </c>
      <c r="H151" s="14">
        <f t="shared" si="166"/>
        <v>0</v>
      </c>
      <c r="I151" s="14">
        <f t="shared" si="166"/>
        <v>0</v>
      </c>
      <c r="J151" s="14">
        <f t="shared" si="166"/>
        <v>0</v>
      </c>
      <c r="K151" s="14">
        <f t="shared" si="166"/>
        <v>0</v>
      </c>
      <c r="L151" s="14">
        <f t="shared" si="166"/>
        <v>0</v>
      </c>
      <c r="M151" s="14">
        <f t="shared" si="166"/>
        <v>0</v>
      </c>
      <c r="N151" s="14">
        <f t="shared" si="166"/>
        <v>0</v>
      </c>
      <c r="O151" s="224"/>
      <c r="Q151" s="161">
        <v>133</v>
      </c>
      <c r="R151" s="161">
        <f t="shared" si="111"/>
        <v>0</v>
      </c>
      <c r="S151" s="161">
        <f t="shared" si="138"/>
        <v>0</v>
      </c>
      <c r="T151" s="161">
        <f t="shared" si="139"/>
        <v>0</v>
      </c>
      <c r="U151" s="161">
        <f t="shared" si="140"/>
        <v>0</v>
      </c>
      <c r="V151" s="161">
        <f t="shared" si="141"/>
        <v>0</v>
      </c>
      <c r="W151" s="161">
        <f t="shared" si="142"/>
        <v>0</v>
      </c>
      <c r="X151" s="161">
        <f t="shared" si="143"/>
        <v>0</v>
      </c>
      <c r="Y151" s="161">
        <f t="shared" si="144"/>
        <v>0</v>
      </c>
      <c r="Z151" s="161">
        <f t="shared" si="145"/>
        <v>0</v>
      </c>
      <c r="AA151" s="161">
        <f t="shared" si="146"/>
        <v>0</v>
      </c>
      <c r="AC151" s="168">
        <v>133</v>
      </c>
      <c r="AD151" s="213">
        <f t="shared" ca="1" si="167"/>
        <v>49197</v>
      </c>
      <c r="AE151" s="260">
        <f t="shared" si="125"/>
        <v>0</v>
      </c>
      <c r="AG151" s="233">
        <v>133</v>
      </c>
      <c r="AH151" s="213">
        <f t="shared" ca="1" si="168"/>
        <v>49197</v>
      </c>
      <c r="AI151" s="260">
        <f t="shared" si="163"/>
        <v>0</v>
      </c>
      <c r="AJ151" s="215">
        <f t="shared" ca="1" si="164"/>
        <v>0</v>
      </c>
      <c r="AK151" s="168">
        <v>133</v>
      </c>
      <c r="AL151" s="213">
        <f t="shared" ca="1" si="169"/>
        <v>49197</v>
      </c>
      <c r="AM151" s="260">
        <f t="shared" si="165"/>
        <v>0</v>
      </c>
      <c r="AO151" s="161">
        <v>133</v>
      </c>
      <c r="AP151" s="117">
        <f t="shared" si="147"/>
        <v>0</v>
      </c>
      <c r="AQ151" s="117">
        <f t="shared" si="148"/>
        <v>0</v>
      </c>
      <c r="AR151" s="117">
        <f t="shared" si="149"/>
        <v>0</v>
      </c>
      <c r="AS151" s="161">
        <f t="shared" si="150"/>
        <v>0</v>
      </c>
      <c r="AT151" s="161">
        <f t="shared" si="151"/>
        <v>0</v>
      </c>
      <c r="AU151" s="161">
        <f t="shared" si="152"/>
        <v>0</v>
      </c>
      <c r="AV151" s="161">
        <f t="shared" si="153"/>
        <v>0</v>
      </c>
      <c r="AW151" s="161">
        <f t="shared" si="154"/>
        <v>0</v>
      </c>
      <c r="AX151" s="161">
        <f t="shared" si="155"/>
        <v>0</v>
      </c>
      <c r="AY151" s="161">
        <f t="shared" si="156"/>
        <v>0</v>
      </c>
      <c r="BD151" s="186" t="str">
        <f t="shared" ref="BD151:BD192" si="170">CONCATENATE(BE151,BF151)</f>
        <v>2PREF SALVAD MAR</v>
      </c>
      <c r="BE151" s="186">
        <f t="shared" ref="BE151:BE192" si="171">IF(BF151=BF150,BE150+1,1)</f>
        <v>2</v>
      </c>
      <c r="BF151" s="209" t="str">
        <f>'Base tabelas'!A130</f>
        <v>PREF SALVAD MAR</v>
      </c>
      <c r="BG151" s="209" t="str">
        <f>'Base tabelas'!B130</f>
        <v>705237 - Tabela 3</v>
      </c>
      <c r="BH151" s="209">
        <f>'Base tabelas'!C130</f>
        <v>0.02</v>
      </c>
      <c r="BI151" s="209">
        <f>'Base tabelas'!D130</f>
        <v>120</v>
      </c>
      <c r="BJ151" s="209" t="str">
        <f>'Base tabelas'!E130</f>
        <v/>
      </c>
      <c r="BK151" s="209">
        <f>'Base tabelas'!F130</f>
        <v>2.2000000000000002</v>
      </c>
      <c r="BL151" s="209">
        <f>'Base tabelas'!G130</f>
        <v>10</v>
      </c>
      <c r="BM151" s="209">
        <f>'Base tabelas'!H130</f>
        <v>50</v>
      </c>
      <c r="BN151" s="209" t="str">
        <f>'Base tabelas'!I130</f>
        <v>RFN - PREF SALVADOR DIG ESTATUT 3 PORTAB</v>
      </c>
      <c r="BO151" s="209" t="str">
        <f>'Base tabelas'!J130</f>
        <v>1,53</v>
      </c>
      <c r="BP151" s="209">
        <f>'Base tabelas'!K130</f>
        <v>1.5300000000000001E-2</v>
      </c>
      <c r="BQ151" s="277">
        <f t="shared" si="122"/>
        <v>2.3015131198838339E-2</v>
      </c>
      <c r="BR151" s="278">
        <f t="shared" si="123"/>
        <v>2.2000000000000002E-2</v>
      </c>
      <c r="BS151" s="279">
        <v>2.9999999999999997E-4</v>
      </c>
    </row>
    <row r="152" spans="3:71" hidden="1" x14ac:dyDescent="0.25">
      <c r="C152">
        <v>103</v>
      </c>
      <c r="D152" s="10">
        <f t="shared" ca="1" si="162"/>
        <v>48283</v>
      </c>
      <c r="E152" s="14">
        <f t="shared" si="166"/>
        <v>0</v>
      </c>
      <c r="F152" s="14">
        <f t="shared" si="166"/>
        <v>0</v>
      </c>
      <c r="G152" s="14">
        <f t="shared" si="166"/>
        <v>0</v>
      </c>
      <c r="H152" s="14">
        <f t="shared" si="166"/>
        <v>0</v>
      </c>
      <c r="I152" s="14">
        <f t="shared" si="166"/>
        <v>0</v>
      </c>
      <c r="J152" s="14">
        <f t="shared" si="166"/>
        <v>0</v>
      </c>
      <c r="K152" s="14">
        <f t="shared" si="166"/>
        <v>0</v>
      </c>
      <c r="L152" s="14">
        <f t="shared" si="166"/>
        <v>0</v>
      </c>
      <c r="M152" s="14">
        <f t="shared" si="166"/>
        <v>0</v>
      </c>
      <c r="N152" s="14">
        <f t="shared" si="166"/>
        <v>0</v>
      </c>
      <c r="O152" s="224"/>
      <c r="Q152" s="161">
        <v>134</v>
      </c>
      <c r="R152" s="161">
        <f t="shared" si="111"/>
        <v>0</v>
      </c>
      <c r="S152" s="161">
        <f t="shared" si="138"/>
        <v>0</v>
      </c>
      <c r="T152" s="161">
        <f t="shared" si="139"/>
        <v>0</v>
      </c>
      <c r="U152" s="161">
        <f t="shared" si="140"/>
        <v>0</v>
      </c>
      <c r="V152" s="161">
        <f t="shared" si="141"/>
        <v>0</v>
      </c>
      <c r="W152" s="161">
        <f t="shared" si="142"/>
        <v>0</v>
      </c>
      <c r="X152" s="161">
        <f t="shared" si="143"/>
        <v>0</v>
      </c>
      <c r="Y152" s="161">
        <f t="shared" si="144"/>
        <v>0</v>
      </c>
      <c r="Z152" s="161">
        <f t="shared" si="145"/>
        <v>0</v>
      </c>
      <c r="AA152" s="161">
        <f t="shared" si="146"/>
        <v>0</v>
      </c>
      <c r="AC152" s="168">
        <v>134</v>
      </c>
      <c r="AD152" s="213">
        <f t="shared" ca="1" si="167"/>
        <v>49227</v>
      </c>
      <c r="AE152" s="260">
        <f t="shared" si="125"/>
        <v>0</v>
      </c>
      <c r="AG152" s="233">
        <v>134</v>
      </c>
      <c r="AH152" s="213">
        <f t="shared" ca="1" si="168"/>
        <v>49227</v>
      </c>
      <c r="AI152" s="260">
        <f t="shared" si="163"/>
        <v>0</v>
      </c>
      <c r="AJ152" s="215">
        <f t="shared" ca="1" si="164"/>
        <v>0</v>
      </c>
      <c r="AK152" s="168">
        <v>134</v>
      </c>
      <c r="AL152" s="213">
        <f t="shared" ca="1" si="169"/>
        <v>49227</v>
      </c>
      <c r="AM152" s="260">
        <f t="shared" si="165"/>
        <v>0</v>
      </c>
      <c r="AO152" s="161">
        <v>134</v>
      </c>
      <c r="AP152" s="117">
        <f t="shared" si="147"/>
        <v>0</v>
      </c>
      <c r="AQ152" s="117">
        <f t="shared" si="148"/>
        <v>0</v>
      </c>
      <c r="AR152" s="117">
        <f t="shared" si="149"/>
        <v>0</v>
      </c>
      <c r="AS152" s="161">
        <f t="shared" si="150"/>
        <v>0</v>
      </c>
      <c r="AT152" s="161">
        <f t="shared" si="151"/>
        <v>0</v>
      </c>
      <c r="AU152" s="161">
        <f t="shared" si="152"/>
        <v>0</v>
      </c>
      <c r="AV152" s="161">
        <f t="shared" si="153"/>
        <v>0</v>
      </c>
      <c r="AW152" s="161">
        <f t="shared" si="154"/>
        <v>0</v>
      </c>
      <c r="AX152" s="161">
        <f t="shared" si="155"/>
        <v>0</v>
      </c>
      <c r="AY152" s="161">
        <f t="shared" si="156"/>
        <v>0</v>
      </c>
      <c r="BD152" s="186" t="str">
        <f t="shared" si="170"/>
        <v>3PREF SALVAD MAR</v>
      </c>
      <c r="BE152" s="186">
        <f t="shared" si="171"/>
        <v>3</v>
      </c>
      <c r="BF152" s="209" t="str">
        <f>'Base tabelas'!A131</f>
        <v>PREF SALVAD MAR</v>
      </c>
      <c r="BG152" s="209" t="str">
        <f>'Base tabelas'!B131</f>
        <v>705242 - Tabela 4</v>
      </c>
      <c r="BH152" s="209">
        <f>'Base tabelas'!C131</f>
        <v>1.9E-2</v>
      </c>
      <c r="BI152" s="209">
        <f>'Base tabelas'!D131</f>
        <v>120</v>
      </c>
      <c r="BJ152" s="209" t="str">
        <f>'Base tabelas'!E131</f>
        <v/>
      </c>
      <c r="BK152" s="209">
        <f>'Base tabelas'!F131</f>
        <v>2.2000000000000002</v>
      </c>
      <c r="BL152" s="209">
        <f>'Base tabelas'!G131</f>
        <v>10</v>
      </c>
      <c r="BM152" s="209">
        <f>'Base tabelas'!H131</f>
        <v>50</v>
      </c>
      <c r="BN152" s="209" t="str">
        <f>'Base tabelas'!I131</f>
        <v>RFN - PREF. SALVADOR DIG INAT 4 PORTAB</v>
      </c>
      <c r="BO152" s="209" t="str">
        <f>'Base tabelas'!J131</f>
        <v>1,53</v>
      </c>
      <c r="BP152" s="209">
        <f>'Base tabelas'!K131</f>
        <v>1.5300000000000001E-2</v>
      </c>
      <c r="BQ152" s="277">
        <f t="shared" si="122"/>
        <v>2.2133200665311679E-2</v>
      </c>
      <c r="BR152" s="278">
        <f t="shared" si="123"/>
        <v>2.2000000000000002E-2</v>
      </c>
      <c r="BS152" s="279">
        <v>2.9999999999999997E-4</v>
      </c>
    </row>
    <row r="153" spans="3:71" hidden="1" x14ac:dyDescent="0.25">
      <c r="C153">
        <v>104</v>
      </c>
      <c r="D153" s="10">
        <f t="shared" ca="1" si="162"/>
        <v>48314</v>
      </c>
      <c r="E153" s="14">
        <f t="shared" si="166"/>
        <v>0</v>
      </c>
      <c r="F153" s="14">
        <f t="shared" si="166"/>
        <v>0</v>
      </c>
      <c r="G153" s="14">
        <f t="shared" si="166"/>
        <v>0</v>
      </c>
      <c r="H153" s="14">
        <f t="shared" si="166"/>
        <v>0</v>
      </c>
      <c r="I153" s="14">
        <f t="shared" si="166"/>
        <v>0</v>
      </c>
      <c r="J153" s="14">
        <f t="shared" si="166"/>
        <v>0</v>
      </c>
      <c r="K153" s="14">
        <f t="shared" si="166"/>
        <v>0</v>
      </c>
      <c r="L153" s="14">
        <f t="shared" si="166"/>
        <v>0</v>
      </c>
      <c r="M153" s="14">
        <f t="shared" si="166"/>
        <v>0</v>
      </c>
      <c r="N153" s="14">
        <f t="shared" si="166"/>
        <v>0</v>
      </c>
      <c r="O153" s="224"/>
      <c r="Q153" s="161">
        <v>135</v>
      </c>
      <c r="R153" s="161">
        <f t="shared" ref="R153:R162" si="172">IF($Q153&lt;=E$17,E$18,0)</f>
        <v>0</v>
      </c>
      <c r="S153" s="161">
        <f t="shared" si="138"/>
        <v>0</v>
      </c>
      <c r="T153" s="161">
        <f t="shared" si="139"/>
        <v>0</v>
      </c>
      <c r="U153" s="161">
        <f t="shared" si="140"/>
        <v>0</v>
      </c>
      <c r="V153" s="161">
        <f t="shared" si="141"/>
        <v>0</v>
      </c>
      <c r="W153" s="161">
        <f t="shared" si="142"/>
        <v>0</v>
      </c>
      <c r="X153" s="161">
        <f t="shared" si="143"/>
        <v>0</v>
      </c>
      <c r="Y153" s="161">
        <f t="shared" si="144"/>
        <v>0</v>
      </c>
      <c r="Z153" s="161">
        <f t="shared" si="145"/>
        <v>0</v>
      </c>
      <c r="AA153" s="161">
        <f t="shared" si="146"/>
        <v>0</v>
      </c>
      <c r="AC153" s="168">
        <v>135</v>
      </c>
      <c r="AD153" s="213">
        <f t="shared" ca="1" si="167"/>
        <v>49258</v>
      </c>
      <c r="AE153" s="260">
        <f t="shared" si="125"/>
        <v>0</v>
      </c>
      <c r="AG153" s="233">
        <v>135</v>
      </c>
      <c r="AH153" s="213">
        <f t="shared" ca="1" si="168"/>
        <v>49258</v>
      </c>
      <c r="AI153" s="260">
        <f t="shared" si="163"/>
        <v>0</v>
      </c>
      <c r="AJ153" s="215">
        <f t="shared" ca="1" si="164"/>
        <v>0</v>
      </c>
      <c r="AK153" s="168">
        <v>135</v>
      </c>
      <c r="AL153" s="213">
        <f t="shared" ca="1" si="169"/>
        <v>49258</v>
      </c>
      <c r="AM153" s="260">
        <f t="shared" si="165"/>
        <v>0</v>
      </c>
      <c r="AO153" s="161">
        <v>135</v>
      </c>
      <c r="AP153" s="117">
        <f t="shared" si="147"/>
        <v>0</v>
      </c>
      <c r="AQ153" s="117">
        <f t="shared" si="148"/>
        <v>0</v>
      </c>
      <c r="AR153" s="117">
        <f t="shared" si="149"/>
        <v>0</v>
      </c>
      <c r="AS153" s="161">
        <f t="shared" si="150"/>
        <v>0</v>
      </c>
      <c r="AT153" s="161">
        <f t="shared" si="151"/>
        <v>0</v>
      </c>
      <c r="AU153" s="161">
        <f t="shared" si="152"/>
        <v>0</v>
      </c>
      <c r="AV153" s="161">
        <f t="shared" si="153"/>
        <v>0</v>
      </c>
      <c r="AW153" s="161">
        <f t="shared" si="154"/>
        <v>0</v>
      </c>
      <c r="AX153" s="161">
        <f t="shared" si="155"/>
        <v>0</v>
      </c>
      <c r="AY153" s="161">
        <f t="shared" si="156"/>
        <v>0</v>
      </c>
      <c r="BD153" s="186" t="str">
        <f t="shared" si="170"/>
        <v>4PREF SALVAD MAR</v>
      </c>
      <c r="BE153" s="186">
        <f t="shared" si="171"/>
        <v>4</v>
      </c>
      <c r="BF153" s="209" t="str">
        <f>'Base tabelas'!A132</f>
        <v>PREF SALVAD MAR</v>
      </c>
      <c r="BG153" s="209" t="str">
        <f>'Base tabelas'!B132</f>
        <v>705243 - Tabela 5</v>
      </c>
      <c r="BH153" s="209">
        <f>'Base tabelas'!C132</f>
        <v>1.8500000000000003E-2</v>
      </c>
      <c r="BI153" s="209">
        <f>'Base tabelas'!D132</f>
        <v>120</v>
      </c>
      <c r="BJ153" s="209" t="str">
        <f>'Base tabelas'!E132</f>
        <v/>
      </c>
      <c r="BK153" s="209">
        <f>'Base tabelas'!F132</f>
        <v>2.2000000000000002</v>
      </c>
      <c r="BL153" s="209">
        <f>'Base tabelas'!G132</f>
        <v>10</v>
      </c>
      <c r="BM153" s="209">
        <f>'Base tabelas'!H132</f>
        <v>50</v>
      </c>
      <c r="BN153" s="209" t="str">
        <f>'Base tabelas'!I132</f>
        <v>RFN - PREF SALVADOR DIG ESTATUT 5 PORTAB</v>
      </c>
      <c r="BO153" s="209" t="str">
        <f>'Base tabelas'!J132</f>
        <v>1,53</v>
      </c>
      <c r="BP153" s="209">
        <f>'Base tabelas'!K132</f>
        <v>1.5300000000000001E-2</v>
      </c>
      <c r="BQ153" s="277">
        <f t="shared" si="122"/>
        <v>2.1697290698850281E-2</v>
      </c>
      <c r="BR153" s="278">
        <f t="shared" si="123"/>
        <v>2.2000000000000002E-2</v>
      </c>
      <c r="BS153" s="279">
        <v>2.9999999999999997E-4</v>
      </c>
    </row>
    <row r="154" spans="3:71" hidden="1" x14ac:dyDescent="0.25">
      <c r="C154">
        <v>105</v>
      </c>
      <c r="D154" s="10">
        <f t="shared" ca="1" si="162"/>
        <v>48344</v>
      </c>
      <c r="E154" s="14">
        <f t="shared" si="166"/>
        <v>0</v>
      </c>
      <c r="F154" s="14">
        <f t="shared" si="166"/>
        <v>0</v>
      </c>
      <c r="G154" s="14">
        <f t="shared" si="166"/>
        <v>0</v>
      </c>
      <c r="H154" s="14">
        <f t="shared" si="166"/>
        <v>0</v>
      </c>
      <c r="I154" s="14">
        <f t="shared" si="166"/>
        <v>0</v>
      </c>
      <c r="J154" s="14">
        <f t="shared" si="166"/>
        <v>0</v>
      </c>
      <c r="K154" s="14">
        <f t="shared" si="166"/>
        <v>0</v>
      </c>
      <c r="L154" s="14">
        <f t="shared" si="166"/>
        <v>0</v>
      </c>
      <c r="M154" s="14">
        <f t="shared" si="166"/>
        <v>0</v>
      </c>
      <c r="N154" s="14">
        <f t="shared" si="166"/>
        <v>0</v>
      </c>
      <c r="O154" s="224"/>
      <c r="Q154" s="161">
        <v>136</v>
      </c>
      <c r="R154" s="161">
        <f t="shared" si="172"/>
        <v>0</v>
      </c>
      <c r="S154" s="161">
        <f t="shared" si="138"/>
        <v>0</v>
      </c>
      <c r="T154" s="161">
        <f t="shared" si="139"/>
        <v>0</v>
      </c>
      <c r="U154" s="161">
        <f t="shared" si="140"/>
        <v>0</v>
      </c>
      <c r="V154" s="161">
        <f t="shared" si="141"/>
        <v>0</v>
      </c>
      <c r="W154" s="161">
        <f t="shared" si="142"/>
        <v>0</v>
      </c>
      <c r="X154" s="161">
        <f t="shared" si="143"/>
        <v>0</v>
      </c>
      <c r="Y154" s="161">
        <f t="shared" si="144"/>
        <v>0</v>
      </c>
      <c r="Z154" s="161">
        <f t="shared" si="145"/>
        <v>0</v>
      </c>
      <c r="AA154" s="161">
        <f t="shared" si="146"/>
        <v>0</v>
      </c>
      <c r="AC154" s="168">
        <v>136</v>
      </c>
      <c r="AD154" s="213">
        <f t="shared" ca="1" si="167"/>
        <v>49288</v>
      </c>
      <c r="AE154" s="260">
        <f t="shared" si="125"/>
        <v>0</v>
      </c>
      <c r="AG154" s="233">
        <v>136</v>
      </c>
      <c r="AH154" s="213">
        <f t="shared" ca="1" si="168"/>
        <v>49288</v>
      </c>
      <c r="AI154" s="260">
        <f t="shared" si="163"/>
        <v>0</v>
      </c>
      <c r="AJ154" s="215">
        <f t="shared" ca="1" si="164"/>
        <v>0</v>
      </c>
      <c r="AK154" s="168">
        <v>136</v>
      </c>
      <c r="AL154" s="213">
        <f t="shared" ca="1" si="169"/>
        <v>49288</v>
      </c>
      <c r="AM154" s="260">
        <f t="shared" si="165"/>
        <v>0</v>
      </c>
      <c r="AO154" s="161">
        <v>136</v>
      </c>
      <c r="AP154" s="117">
        <f t="shared" si="147"/>
        <v>0</v>
      </c>
      <c r="AQ154" s="117">
        <f t="shared" si="148"/>
        <v>0</v>
      </c>
      <c r="AR154" s="117">
        <f t="shared" si="149"/>
        <v>0</v>
      </c>
      <c r="AS154" s="161">
        <f t="shared" si="150"/>
        <v>0</v>
      </c>
      <c r="AT154" s="161">
        <f t="shared" si="151"/>
        <v>0</v>
      </c>
      <c r="AU154" s="161">
        <f t="shared" si="152"/>
        <v>0</v>
      </c>
      <c r="AV154" s="161">
        <f t="shared" si="153"/>
        <v>0</v>
      </c>
      <c r="AW154" s="161">
        <f t="shared" si="154"/>
        <v>0</v>
      </c>
      <c r="AX154" s="161">
        <f t="shared" si="155"/>
        <v>0</v>
      </c>
      <c r="AY154" s="161">
        <f t="shared" si="156"/>
        <v>0</v>
      </c>
      <c r="BD154" s="186" t="str">
        <f t="shared" si="170"/>
        <v>5PREF SALVAD MAR</v>
      </c>
      <c r="BE154" s="186">
        <f t="shared" si="171"/>
        <v>5</v>
      </c>
      <c r="BF154" s="209" t="str">
        <f>'Base tabelas'!A133</f>
        <v>PREF SALVAD MAR</v>
      </c>
      <c r="BG154" s="209" t="str">
        <f>'Base tabelas'!B133</f>
        <v>705245 - Tabela 5</v>
      </c>
      <c r="BH154" s="209">
        <f>'Base tabelas'!C133</f>
        <v>1.8500000000000003E-2</v>
      </c>
      <c r="BI154" s="209">
        <f>'Base tabelas'!D133</f>
        <v>120</v>
      </c>
      <c r="BJ154" s="209" t="str">
        <f>'Base tabelas'!E133</f>
        <v/>
      </c>
      <c r="BK154" s="209">
        <f>'Base tabelas'!F133</f>
        <v>2.2000000000000002</v>
      </c>
      <c r="BL154" s="209">
        <f>'Base tabelas'!G133</f>
        <v>10</v>
      </c>
      <c r="BM154" s="209">
        <f>'Base tabelas'!H133</f>
        <v>50</v>
      </c>
      <c r="BN154" s="209" t="str">
        <f>'Base tabelas'!I133</f>
        <v>RFN - PREF SALVADOR DIG EST 5 PORTAB</v>
      </c>
      <c r="BO154" s="209" t="str">
        <f>'Base tabelas'!J133</f>
        <v>1,53</v>
      </c>
      <c r="BP154" s="209">
        <f>'Base tabelas'!K133</f>
        <v>1.5300000000000001E-2</v>
      </c>
      <c r="BQ154" s="277">
        <f t="shared" ref="BQ154:BQ192" si="173">(PMT(BH154,BI154,-1,0,0)*(BH154+1)^((BM154-30)/30))*1.03017</f>
        <v>2.1697290698850281E-2</v>
      </c>
      <c r="BR154" s="278">
        <f t="shared" ref="BR154:BR192" si="174">BK154/100</f>
        <v>2.2000000000000002E-2</v>
      </c>
      <c r="BS154" s="279">
        <v>2.9999999999999997E-4</v>
      </c>
    </row>
    <row r="155" spans="3:71" hidden="1" x14ac:dyDescent="0.25">
      <c r="C155">
        <v>106</v>
      </c>
      <c r="D155" s="10">
        <f t="shared" ca="1" si="162"/>
        <v>48375</v>
      </c>
      <c r="E155" s="14">
        <f t="shared" si="166"/>
        <v>0</v>
      </c>
      <c r="F155" s="14">
        <f t="shared" si="166"/>
        <v>0</v>
      </c>
      <c r="G155" s="14">
        <f t="shared" si="166"/>
        <v>0</v>
      </c>
      <c r="H155" s="14">
        <f t="shared" si="166"/>
        <v>0</v>
      </c>
      <c r="I155" s="14">
        <f t="shared" si="166"/>
        <v>0</v>
      </c>
      <c r="J155" s="14">
        <f t="shared" si="166"/>
        <v>0</v>
      </c>
      <c r="K155" s="14">
        <f t="shared" si="166"/>
        <v>0</v>
      </c>
      <c r="L155" s="14">
        <f t="shared" si="166"/>
        <v>0</v>
      </c>
      <c r="M155" s="14">
        <f t="shared" si="166"/>
        <v>0</v>
      </c>
      <c r="N155" s="14">
        <f t="shared" si="166"/>
        <v>0</v>
      </c>
      <c r="O155" s="224"/>
      <c r="Q155" s="161">
        <v>137</v>
      </c>
      <c r="R155" s="161">
        <f t="shared" si="172"/>
        <v>0</v>
      </c>
      <c r="S155" s="161">
        <f t="shared" si="138"/>
        <v>0</v>
      </c>
      <c r="T155" s="161">
        <f t="shared" si="139"/>
        <v>0</v>
      </c>
      <c r="U155" s="161">
        <f t="shared" si="140"/>
        <v>0</v>
      </c>
      <c r="V155" s="161">
        <f t="shared" si="141"/>
        <v>0</v>
      </c>
      <c r="W155" s="161">
        <f t="shared" si="142"/>
        <v>0</v>
      </c>
      <c r="X155" s="161">
        <f t="shared" si="143"/>
        <v>0</v>
      </c>
      <c r="Y155" s="161">
        <f t="shared" si="144"/>
        <v>0</v>
      </c>
      <c r="Z155" s="161">
        <f t="shared" si="145"/>
        <v>0</v>
      </c>
      <c r="AA155" s="161">
        <f t="shared" si="146"/>
        <v>0</v>
      </c>
      <c r="AC155" s="168">
        <v>137</v>
      </c>
      <c r="AD155" s="213">
        <f t="shared" ca="1" si="167"/>
        <v>49319</v>
      </c>
      <c r="AE155" s="260">
        <f t="shared" si="125"/>
        <v>0</v>
      </c>
      <c r="AG155" s="233">
        <v>137</v>
      </c>
      <c r="AH155" s="213">
        <f t="shared" ca="1" si="168"/>
        <v>49319</v>
      </c>
      <c r="AI155" s="260">
        <f t="shared" si="163"/>
        <v>0</v>
      </c>
      <c r="AJ155" s="215">
        <f t="shared" ca="1" si="164"/>
        <v>0</v>
      </c>
      <c r="AK155" s="168">
        <v>137</v>
      </c>
      <c r="AL155" s="213">
        <f t="shared" ca="1" si="169"/>
        <v>49319</v>
      </c>
      <c r="AM155" s="260">
        <f t="shared" si="165"/>
        <v>0</v>
      </c>
      <c r="AO155" s="161">
        <v>137</v>
      </c>
      <c r="AP155" s="117">
        <f t="shared" si="147"/>
        <v>0</v>
      </c>
      <c r="AQ155" s="117">
        <f t="shared" si="148"/>
        <v>0</v>
      </c>
      <c r="AR155" s="117">
        <f t="shared" si="149"/>
        <v>0</v>
      </c>
      <c r="AS155" s="161">
        <f t="shared" si="150"/>
        <v>0</v>
      </c>
      <c r="AT155" s="161">
        <f t="shared" si="151"/>
        <v>0</v>
      </c>
      <c r="AU155" s="161">
        <f t="shared" si="152"/>
        <v>0</v>
      </c>
      <c r="AV155" s="161">
        <f t="shared" si="153"/>
        <v>0</v>
      </c>
      <c r="AW155" s="161">
        <f t="shared" si="154"/>
        <v>0</v>
      </c>
      <c r="AX155" s="161">
        <f t="shared" si="155"/>
        <v>0</v>
      </c>
      <c r="AY155" s="161">
        <f t="shared" si="156"/>
        <v>0</v>
      </c>
      <c r="BD155" s="186" t="str">
        <f t="shared" si="170"/>
        <v>6PREF SALVAD MAR</v>
      </c>
      <c r="BE155" s="186">
        <f t="shared" si="171"/>
        <v>6</v>
      </c>
      <c r="BF155" s="209" t="str">
        <f>'Base tabelas'!A134</f>
        <v>PREF SALVAD MAR</v>
      </c>
      <c r="BG155" s="209" t="str">
        <f>'Base tabelas'!B134</f>
        <v>705246 - Tabela 6</v>
      </c>
      <c r="BH155" s="209">
        <f>'Base tabelas'!C134</f>
        <v>1.8000000000000002E-2</v>
      </c>
      <c r="BI155" s="209">
        <f>'Base tabelas'!D134</f>
        <v>120</v>
      </c>
      <c r="BJ155" s="209" t="str">
        <f>'Base tabelas'!E134</f>
        <v/>
      </c>
      <c r="BK155" s="209">
        <f>'Base tabelas'!F134</f>
        <v>2.2000000000000002</v>
      </c>
      <c r="BL155" s="209">
        <f>'Base tabelas'!G134</f>
        <v>10</v>
      </c>
      <c r="BM155" s="209">
        <f>'Base tabelas'!H134</f>
        <v>50</v>
      </c>
      <c r="BN155" s="209" t="str">
        <f>'Base tabelas'!I134</f>
        <v>RFN - PREF SALVADOR DIG ESTATUT 6 PORTAB</v>
      </c>
      <c r="BO155" s="209" t="str">
        <f>'Base tabelas'!J134</f>
        <v>1,53</v>
      </c>
      <c r="BP155" s="209">
        <f>'Base tabelas'!K134</f>
        <v>1.5300000000000001E-2</v>
      </c>
      <c r="BQ155" s="277">
        <f t="shared" si="173"/>
        <v>2.1264850991056589E-2</v>
      </c>
      <c r="BR155" s="278">
        <f t="shared" si="174"/>
        <v>2.2000000000000002E-2</v>
      </c>
      <c r="BS155" s="279">
        <v>2.9999999999999997E-4</v>
      </c>
    </row>
    <row r="156" spans="3:71" hidden="1" x14ac:dyDescent="0.25">
      <c r="C156">
        <v>107</v>
      </c>
      <c r="D156" s="10">
        <f t="shared" ca="1" si="162"/>
        <v>48405</v>
      </c>
      <c r="E156" s="14">
        <f t="shared" si="166"/>
        <v>0</v>
      </c>
      <c r="F156" s="14">
        <f t="shared" si="166"/>
        <v>0</v>
      </c>
      <c r="G156" s="14">
        <f t="shared" si="166"/>
        <v>0</v>
      </c>
      <c r="H156" s="14">
        <f t="shared" si="166"/>
        <v>0</v>
      </c>
      <c r="I156" s="14">
        <f t="shared" si="166"/>
        <v>0</v>
      </c>
      <c r="J156" s="14">
        <f t="shared" si="166"/>
        <v>0</v>
      </c>
      <c r="K156" s="14">
        <f t="shared" si="166"/>
        <v>0</v>
      </c>
      <c r="L156" s="14">
        <f t="shared" si="166"/>
        <v>0</v>
      </c>
      <c r="M156" s="14">
        <f t="shared" si="166"/>
        <v>0</v>
      </c>
      <c r="N156" s="14">
        <f t="shared" si="166"/>
        <v>0</v>
      </c>
      <c r="O156" s="224"/>
      <c r="Q156" s="161">
        <v>138</v>
      </c>
      <c r="R156" s="161">
        <f t="shared" si="172"/>
        <v>0</v>
      </c>
      <c r="S156" s="161">
        <f t="shared" si="138"/>
        <v>0</v>
      </c>
      <c r="T156" s="161">
        <f t="shared" si="139"/>
        <v>0</v>
      </c>
      <c r="U156" s="161">
        <f t="shared" si="140"/>
        <v>0</v>
      </c>
      <c r="V156" s="161">
        <f t="shared" si="141"/>
        <v>0</v>
      </c>
      <c r="W156" s="161">
        <f t="shared" si="142"/>
        <v>0</v>
      </c>
      <c r="X156" s="161">
        <f t="shared" si="143"/>
        <v>0</v>
      </c>
      <c r="Y156" s="161">
        <f t="shared" si="144"/>
        <v>0</v>
      </c>
      <c r="Z156" s="161">
        <f t="shared" si="145"/>
        <v>0</v>
      </c>
      <c r="AA156" s="161">
        <f t="shared" si="146"/>
        <v>0</v>
      </c>
      <c r="AC156" s="168">
        <v>138</v>
      </c>
      <c r="AD156" s="213">
        <f t="shared" ca="1" si="167"/>
        <v>49350</v>
      </c>
      <c r="AE156" s="260">
        <f t="shared" si="125"/>
        <v>0</v>
      </c>
      <c r="AG156" s="233">
        <v>138</v>
      </c>
      <c r="AH156" s="213">
        <f t="shared" ca="1" si="168"/>
        <v>49350</v>
      </c>
      <c r="AI156" s="260">
        <f t="shared" si="163"/>
        <v>0</v>
      </c>
      <c r="AJ156" s="215">
        <f t="shared" ca="1" si="164"/>
        <v>0</v>
      </c>
      <c r="AK156" s="168">
        <v>138</v>
      </c>
      <c r="AL156" s="213">
        <f t="shared" ca="1" si="169"/>
        <v>49350</v>
      </c>
      <c r="AM156" s="260">
        <f t="shared" si="165"/>
        <v>0</v>
      </c>
      <c r="AO156" s="161">
        <v>138</v>
      </c>
      <c r="AP156" s="117">
        <f t="shared" si="147"/>
        <v>0</v>
      </c>
      <c r="AQ156" s="117">
        <f t="shared" si="148"/>
        <v>0</v>
      </c>
      <c r="AR156" s="117">
        <f t="shared" si="149"/>
        <v>0</v>
      </c>
      <c r="AS156" s="161">
        <f t="shared" si="150"/>
        <v>0</v>
      </c>
      <c r="AT156" s="161">
        <f t="shared" si="151"/>
        <v>0</v>
      </c>
      <c r="AU156" s="161">
        <f t="shared" si="152"/>
        <v>0</v>
      </c>
      <c r="AV156" s="161">
        <f t="shared" si="153"/>
        <v>0</v>
      </c>
      <c r="AW156" s="161">
        <f t="shared" si="154"/>
        <v>0</v>
      </c>
      <c r="AX156" s="161">
        <f t="shared" si="155"/>
        <v>0</v>
      </c>
      <c r="AY156" s="161">
        <f t="shared" si="156"/>
        <v>0</v>
      </c>
      <c r="BD156" s="186" t="str">
        <f t="shared" si="170"/>
        <v>7PREF SALVAD MAR</v>
      </c>
      <c r="BE156" s="186">
        <f t="shared" si="171"/>
        <v>7</v>
      </c>
      <c r="BF156" s="209" t="str">
        <f>'Base tabelas'!A135</f>
        <v>PREF SALVAD MAR</v>
      </c>
      <c r="BG156" s="209" t="str">
        <f>'Base tabelas'!B135</f>
        <v>705248 - Tabela 6</v>
      </c>
      <c r="BH156" s="209">
        <f>'Base tabelas'!C135</f>
        <v>1.8000000000000002E-2</v>
      </c>
      <c r="BI156" s="209">
        <f>'Base tabelas'!D135</f>
        <v>120</v>
      </c>
      <c r="BJ156" s="209" t="str">
        <f>'Base tabelas'!E135</f>
        <v/>
      </c>
      <c r="BK156" s="209">
        <f>'Base tabelas'!F135</f>
        <v>2.2000000000000002</v>
      </c>
      <c r="BL156" s="209">
        <f>'Base tabelas'!G135</f>
        <v>10</v>
      </c>
      <c r="BM156" s="209">
        <f>'Base tabelas'!H135</f>
        <v>50</v>
      </c>
      <c r="BN156" s="209" t="str">
        <f>'Base tabelas'!I135</f>
        <v>RFN - PREF SALVADOR DIG EST 6 PORTAB</v>
      </c>
      <c r="BO156" s="209" t="str">
        <f>'Base tabelas'!J135</f>
        <v>1,53</v>
      </c>
      <c r="BP156" s="209">
        <f>'Base tabelas'!K135</f>
        <v>1.5300000000000001E-2</v>
      </c>
      <c r="BQ156" s="277">
        <f t="shared" si="173"/>
        <v>2.1264850991056589E-2</v>
      </c>
      <c r="BR156" s="278">
        <f t="shared" si="174"/>
        <v>2.2000000000000002E-2</v>
      </c>
      <c r="BS156" s="279">
        <v>2.9999999999999997E-4</v>
      </c>
    </row>
    <row r="157" spans="3:71" hidden="1" x14ac:dyDescent="0.25">
      <c r="C157">
        <v>108</v>
      </c>
      <c r="D157" s="10">
        <f t="shared" ca="1" si="162"/>
        <v>48436</v>
      </c>
      <c r="E157" s="14">
        <f t="shared" si="166"/>
        <v>0</v>
      </c>
      <c r="F157" s="14">
        <f t="shared" si="166"/>
        <v>0</v>
      </c>
      <c r="G157" s="14">
        <f t="shared" si="166"/>
        <v>0</v>
      </c>
      <c r="H157" s="14">
        <f t="shared" si="166"/>
        <v>0</v>
      </c>
      <c r="I157" s="14">
        <f t="shared" si="166"/>
        <v>0</v>
      </c>
      <c r="J157" s="14">
        <f t="shared" si="166"/>
        <v>0</v>
      </c>
      <c r="K157" s="14">
        <f t="shared" si="166"/>
        <v>0</v>
      </c>
      <c r="L157" s="14">
        <f t="shared" si="166"/>
        <v>0</v>
      </c>
      <c r="M157" s="14">
        <f t="shared" si="166"/>
        <v>0</v>
      </c>
      <c r="N157" s="14">
        <f t="shared" si="166"/>
        <v>0</v>
      </c>
      <c r="O157" s="224"/>
      <c r="Q157" s="161">
        <v>139</v>
      </c>
      <c r="R157" s="161">
        <f t="shared" si="172"/>
        <v>0</v>
      </c>
      <c r="S157" s="161">
        <f t="shared" si="138"/>
        <v>0</v>
      </c>
      <c r="T157" s="161">
        <f t="shared" si="139"/>
        <v>0</v>
      </c>
      <c r="U157" s="161">
        <f t="shared" si="140"/>
        <v>0</v>
      </c>
      <c r="V157" s="161">
        <f t="shared" si="141"/>
        <v>0</v>
      </c>
      <c r="W157" s="161">
        <f t="shared" si="142"/>
        <v>0</v>
      </c>
      <c r="X157" s="161">
        <f t="shared" si="143"/>
        <v>0</v>
      </c>
      <c r="Y157" s="161">
        <f t="shared" si="144"/>
        <v>0</v>
      </c>
      <c r="Z157" s="161">
        <f t="shared" si="145"/>
        <v>0</v>
      </c>
      <c r="AA157" s="161">
        <f t="shared" si="146"/>
        <v>0</v>
      </c>
      <c r="AC157" s="168">
        <v>139</v>
      </c>
      <c r="AD157" s="213">
        <f t="shared" ca="1" si="167"/>
        <v>49378</v>
      </c>
      <c r="AE157" s="260">
        <f t="shared" si="125"/>
        <v>0</v>
      </c>
      <c r="AG157" s="233">
        <v>139</v>
      </c>
      <c r="AH157" s="213">
        <f t="shared" ca="1" si="168"/>
        <v>49378</v>
      </c>
      <c r="AI157" s="260">
        <f t="shared" si="163"/>
        <v>0</v>
      </c>
      <c r="AJ157" s="215">
        <f t="shared" ca="1" si="164"/>
        <v>0</v>
      </c>
      <c r="AK157" s="168">
        <v>139</v>
      </c>
      <c r="AL157" s="213">
        <f t="shared" ca="1" si="169"/>
        <v>49378</v>
      </c>
      <c r="AM157" s="260">
        <f t="shared" si="165"/>
        <v>0</v>
      </c>
      <c r="AO157" s="161">
        <v>139</v>
      </c>
      <c r="AP157" s="117">
        <f t="shared" si="147"/>
        <v>0</v>
      </c>
      <c r="AQ157" s="117">
        <f t="shared" si="148"/>
        <v>0</v>
      </c>
      <c r="AR157" s="117">
        <f t="shared" si="149"/>
        <v>0</v>
      </c>
      <c r="AS157" s="161">
        <f t="shared" si="150"/>
        <v>0</v>
      </c>
      <c r="AT157" s="161">
        <f t="shared" si="151"/>
        <v>0</v>
      </c>
      <c r="AU157" s="161">
        <f t="shared" si="152"/>
        <v>0</v>
      </c>
      <c r="AV157" s="161">
        <f t="shared" si="153"/>
        <v>0</v>
      </c>
      <c r="AW157" s="161">
        <f t="shared" si="154"/>
        <v>0</v>
      </c>
      <c r="AX157" s="161">
        <f t="shared" si="155"/>
        <v>0</v>
      </c>
      <c r="AY157" s="161">
        <f t="shared" si="156"/>
        <v>0</v>
      </c>
      <c r="BD157" s="186" t="str">
        <f t="shared" si="170"/>
        <v>8PREF SALVAD MAR</v>
      </c>
      <c r="BE157" s="186">
        <f t="shared" si="171"/>
        <v>8</v>
      </c>
      <c r="BF157" s="209" t="str">
        <f>'Base tabelas'!A136</f>
        <v>PREF SALVAD MAR</v>
      </c>
      <c r="BG157" s="209" t="str">
        <f>'Base tabelas'!B136</f>
        <v>705249 - Tabela 7</v>
      </c>
      <c r="BH157" s="209">
        <f>'Base tabelas'!C136</f>
        <v>1.78E-2</v>
      </c>
      <c r="BI157" s="209">
        <f>'Base tabelas'!D136</f>
        <v>120</v>
      </c>
      <c r="BJ157" s="209" t="str">
        <f>'Base tabelas'!E136</f>
        <v/>
      </c>
      <c r="BK157" s="209">
        <f>'Base tabelas'!F136</f>
        <v>2.2000000000000002</v>
      </c>
      <c r="BL157" s="209">
        <f>'Base tabelas'!G136</f>
        <v>10</v>
      </c>
      <c r="BM157" s="209">
        <f>'Base tabelas'!H136</f>
        <v>50</v>
      </c>
      <c r="BN157" s="209" t="str">
        <f>'Base tabelas'!I136</f>
        <v>RFN - PREF SALVADOR DIG ESTATUT 7 PORTAB</v>
      </c>
      <c r="BO157" s="209" t="str">
        <f>'Base tabelas'!J136</f>
        <v>1,53</v>
      </c>
      <c r="BP157" s="209">
        <f>'Base tabelas'!K136</f>
        <v>1.5300000000000001E-2</v>
      </c>
      <c r="BQ157" s="277">
        <f t="shared" si="173"/>
        <v>2.1092863633945105E-2</v>
      </c>
      <c r="BR157" s="278">
        <f t="shared" si="174"/>
        <v>2.2000000000000002E-2</v>
      </c>
      <c r="BS157" s="279">
        <v>2.9999999999999997E-4</v>
      </c>
    </row>
    <row r="158" spans="3:71" hidden="1" x14ac:dyDescent="0.25">
      <c r="C158">
        <v>109</v>
      </c>
      <c r="D158" s="10">
        <f t="shared" ca="1" si="162"/>
        <v>48467</v>
      </c>
      <c r="E158" s="14">
        <f t="shared" si="166"/>
        <v>0</v>
      </c>
      <c r="F158" s="14">
        <f t="shared" si="166"/>
        <v>0</v>
      </c>
      <c r="G158" s="14">
        <f t="shared" si="166"/>
        <v>0</v>
      </c>
      <c r="H158" s="14">
        <f t="shared" si="166"/>
        <v>0</v>
      </c>
      <c r="I158" s="14">
        <f t="shared" si="166"/>
        <v>0</v>
      </c>
      <c r="J158" s="14">
        <f t="shared" si="166"/>
        <v>0</v>
      </c>
      <c r="K158" s="14">
        <f t="shared" si="166"/>
        <v>0</v>
      </c>
      <c r="L158" s="14">
        <f t="shared" si="166"/>
        <v>0</v>
      </c>
      <c r="M158" s="14">
        <f t="shared" si="166"/>
        <v>0</v>
      </c>
      <c r="N158" s="14">
        <f t="shared" si="166"/>
        <v>0</v>
      </c>
      <c r="O158" s="224"/>
      <c r="Q158" s="161">
        <v>140</v>
      </c>
      <c r="R158" s="161">
        <f t="shared" si="172"/>
        <v>0</v>
      </c>
      <c r="S158" s="161">
        <f t="shared" si="138"/>
        <v>0</v>
      </c>
      <c r="T158" s="161">
        <f t="shared" si="139"/>
        <v>0</v>
      </c>
      <c r="U158" s="161">
        <f t="shared" si="140"/>
        <v>0</v>
      </c>
      <c r="V158" s="161">
        <f t="shared" si="141"/>
        <v>0</v>
      </c>
      <c r="W158" s="161">
        <f t="shared" si="142"/>
        <v>0</v>
      </c>
      <c r="X158" s="161">
        <f t="shared" si="143"/>
        <v>0</v>
      </c>
      <c r="Y158" s="161">
        <f t="shared" si="144"/>
        <v>0</v>
      </c>
      <c r="Z158" s="161">
        <f t="shared" si="145"/>
        <v>0</v>
      </c>
      <c r="AA158" s="161">
        <f t="shared" si="146"/>
        <v>0</v>
      </c>
      <c r="AC158" s="168">
        <v>140</v>
      </c>
      <c r="AD158" s="213">
        <f t="shared" ca="1" si="167"/>
        <v>49409</v>
      </c>
      <c r="AE158" s="260">
        <f t="shared" si="125"/>
        <v>0</v>
      </c>
      <c r="AG158" s="233">
        <v>140</v>
      </c>
      <c r="AH158" s="213">
        <f t="shared" ca="1" si="168"/>
        <v>49409</v>
      </c>
      <c r="AI158" s="260">
        <f t="shared" si="163"/>
        <v>0</v>
      </c>
      <c r="AJ158" s="215">
        <f t="shared" ca="1" si="164"/>
        <v>0</v>
      </c>
      <c r="AK158" s="168">
        <v>140</v>
      </c>
      <c r="AL158" s="213">
        <f t="shared" ca="1" si="169"/>
        <v>49409</v>
      </c>
      <c r="AM158" s="260">
        <f t="shared" si="165"/>
        <v>0</v>
      </c>
      <c r="AO158" s="161">
        <v>140</v>
      </c>
      <c r="AP158" s="117">
        <f t="shared" si="147"/>
        <v>0</v>
      </c>
      <c r="AQ158" s="117">
        <f t="shared" si="148"/>
        <v>0</v>
      </c>
      <c r="AR158" s="117">
        <f t="shared" si="149"/>
        <v>0</v>
      </c>
      <c r="AS158" s="161">
        <f t="shared" si="150"/>
        <v>0</v>
      </c>
      <c r="AT158" s="161">
        <f t="shared" si="151"/>
        <v>0</v>
      </c>
      <c r="AU158" s="161">
        <f t="shared" si="152"/>
        <v>0</v>
      </c>
      <c r="AV158" s="161">
        <f t="shared" si="153"/>
        <v>0</v>
      </c>
      <c r="AW158" s="161">
        <f t="shared" si="154"/>
        <v>0</v>
      </c>
      <c r="AX158" s="161">
        <f t="shared" si="155"/>
        <v>0</v>
      </c>
      <c r="AY158" s="161">
        <f t="shared" si="156"/>
        <v>0</v>
      </c>
      <c r="BD158" s="186" t="str">
        <f t="shared" si="170"/>
        <v>9PREF SALVAD MAR</v>
      </c>
      <c r="BE158" s="186">
        <f t="shared" si="171"/>
        <v>9</v>
      </c>
      <c r="BF158" s="209" t="str">
        <f>'Base tabelas'!A137</f>
        <v>PREF SALVAD MAR</v>
      </c>
      <c r="BG158" s="209" t="str">
        <f>'Base tabelas'!B137</f>
        <v>705251 - Tabela 7</v>
      </c>
      <c r="BH158" s="209">
        <f>'Base tabelas'!C137</f>
        <v>1.78E-2</v>
      </c>
      <c r="BI158" s="209">
        <f>'Base tabelas'!D137</f>
        <v>120</v>
      </c>
      <c r="BJ158" s="209" t="str">
        <f>'Base tabelas'!E137</f>
        <v/>
      </c>
      <c r="BK158" s="209">
        <f>'Base tabelas'!F137</f>
        <v>2.2000000000000002</v>
      </c>
      <c r="BL158" s="209">
        <f>'Base tabelas'!G137</f>
        <v>10</v>
      </c>
      <c r="BM158" s="209">
        <f>'Base tabelas'!H137</f>
        <v>50</v>
      </c>
      <c r="BN158" s="209" t="str">
        <f>'Base tabelas'!I137</f>
        <v>RFN - PREF SALVADOR DIG EST 7 PORTAB</v>
      </c>
      <c r="BO158" s="209" t="str">
        <f>'Base tabelas'!J137</f>
        <v>1,53</v>
      </c>
      <c r="BP158" s="209">
        <f>'Base tabelas'!K137</f>
        <v>1.5300000000000001E-2</v>
      </c>
      <c r="BQ158" s="277">
        <f t="shared" si="173"/>
        <v>2.1092863633945105E-2</v>
      </c>
      <c r="BR158" s="278">
        <f t="shared" si="174"/>
        <v>2.2000000000000002E-2</v>
      </c>
      <c r="BS158" s="279">
        <v>2.9999999999999997E-4</v>
      </c>
    </row>
    <row r="159" spans="3:71" hidden="1" x14ac:dyDescent="0.25">
      <c r="C159">
        <v>110</v>
      </c>
      <c r="D159" s="10">
        <f t="shared" ca="1" si="162"/>
        <v>48497</v>
      </c>
      <c r="E159" s="14">
        <f t="shared" si="166"/>
        <v>0</v>
      </c>
      <c r="F159" s="14">
        <f t="shared" si="166"/>
        <v>0</v>
      </c>
      <c r="G159" s="14">
        <f t="shared" si="166"/>
        <v>0</v>
      </c>
      <c r="H159" s="14">
        <f t="shared" si="166"/>
        <v>0</v>
      </c>
      <c r="I159" s="14">
        <f t="shared" si="166"/>
        <v>0</v>
      </c>
      <c r="J159" s="14">
        <f t="shared" si="166"/>
        <v>0</v>
      </c>
      <c r="K159" s="14">
        <f t="shared" si="166"/>
        <v>0</v>
      </c>
      <c r="L159" s="14">
        <f t="shared" si="166"/>
        <v>0</v>
      </c>
      <c r="M159" s="14">
        <f t="shared" si="166"/>
        <v>0</v>
      </c>
      <c r="N159" s="14">
        <f t="shared" si="166"/>
        <v>0</v>
      </c>
      <c r="O159" s="224"/>
      <c r="Q159" s="161">
        <v>141</v>
      </c>
      <c r="R159" s="161">
        <f t="shared" si="172"/>
        <v>0</v>
      </c>
      <c r="S159" s="161">
        <f t="shared" si="138"/>
        <v>0</v>
      </c>
      <c r="T159" s="161">
        <f t="shared" si="139"/>
        <v>0</v>
      </c>
      <c r="U159" s="161">
        <f t="shared" si="140"/>
        <v>0</v>
      </c>
      <c r="V159" s="161">
        <f t="shared" si="141"/>
        <v>0</v>
      </c>
      <c r="W159" s="161">
        <f t="shared" si="142"/>
        <v>0</v>
      </c>
      <c r="X159" s="161">
        <f t="shared" si="143"/>
        <v>0</v>
      </c>
      <c r="Y159" s="161">
        <f t="shared" si="144"/>
        <v>0</v>
      </c>
      <c r="Z159" s="161">
        <f t="shared" si="145"/>
        <v>0</v>
      </c>
      <c r="AA159" s="161">
        <f t="shared" si="146"/>
        <v>0</v>
      </c>
      <c r="AC159" s="168">
        <v>141</v>
      </c>
      <c r="AD159" s="213">
        <f t="shared" ca="1" si="167"/>
        <v>49439</v>
      </c>
      <c r="AE159" s="260">
        <f t="shared" si="125"/>
        <v>0</v>
      </c>
      <c r="AG159" s="233">
        <v>141</v>
      </c>
      <c r="AH159" s="213">
        <f t="shared" ca="1" si="168"/>
        <v>49439</v>
      </c>
      <c r="AI159" s="260">
        <f t="shared" si="163"/>
        <v>0</v>
      </c>
      <c r="AJ159" s="215">
        <f t="shared" ca="1" si="164"/>
        <v>0</v>
      </c>
      <c r="AK159" s="168">
        <v>141</v>
      </c>
      <c r="AL159" s="213">
        <f t="shared" ca="1" si="169"/>
        <v>49439</v>
      </c>
      <c r="AM159" s="260">
        <f t="shared" si="165"/>
        <v>0</v>
      </c>
      <c r="AO159" s="161">
        <v>141</v>
      </c>
      <c r="AP159" s="117">
        <f t="shared" si="147"/>
        <v>0</v>
      </c>
      <c r="AQ159" s="117">
        <f t="shared" si="148"/>
        <v>0</v>
      </c>
      <c r="AR159" s="117">
        <f t="shared" si="149"/>
        <v>0</v>
      </c>
      <c r="AS159" s="161">
        <f t="shared" si="150"/>
        <v>0</v>
      </c>
      <c r="AT159" s="161">
        <f t="shared" si="151"/>
        <v>0</v>
      </c>
      <c r="AU159" s="161">
        <f t="shared" si="152"/>
        <v>0</v>
      </c>
      <c r="AV159" s="161">
        <f t="shared" si="153"/>
        <v>0</v>
      </c>
      <c r="AW159" s="161">
        <f t="shared" si="154"/>
        <v>0</v>
      </c>
      <c r="AX159" s="161">
        <f t="shared" si="155"/>
        <v>0</v>
      </c>
      <c r="AY159" s="161">
        <f t="shared" si="156"/>
        <v>0</v>
      </c>
      <c r="BD159" s="186" t="str">
        <f t="shared" si="170"/>
        <v>1PREF SJ PINHAIS</v>
      </c>
      <c r="BE159" s="186">
        <f t="shared" si="171"/>
        <v>1</v>
      </c>
      <c r="BF159" s="209" t="str">
        <f>'Base tabelas'!A138</f>
        <v>PREF SJ PINHAIS</v>
      </c>
      <c r="BG159" s="209" t="str">
        <f>'Base tabelas'!B138</f>
        <v xml:space="preserve">745681 - Tabela </v>
      </c>
      <c r="BH159" s="209">
        <f>'Base tabelas'!C138</f>
        <v>1.8500000000000003E-2</v>
      </c>
      <c r="BI159" s="209">
        <f>'Base tabelas'!D138</f>
        <v>120</v>
      </c>
      <c r="BJ159" s="209" t="str">
        <f>'Base tabelas'!E138</f>
        <v/>
      </c>
      <c r="BK159" s="209">
        <f>'Base tabelas'!F138</f>
        <v>2</v>
      </c>
      <c r="BL159" s="209">
        <f>'Base tabelas'!G138</f>
        <v>15</v>
      </c>
      <c r="BM159" s="209">
        <f>'Base tabelas'!H138</f>
        <v>61</v>
      </c>
      <c r="BN159" s="209" t="str">
        <f>'Base tabelas'!I138</f>
        <v>RFN - PREF SAO JOSE PINHAIS DIG PORTAB</v>
      </c>
      <c r="BO159" s="209" t="str">
        <f>'Base tabelas'!J138</f>
        <v>1,6</v>
      </c>
      <c r="BP159" s="209">
        <f>'Base tabelas'!K138</f>
        <v>1.6E-2</v>
      </c>
      <c r="BQ159" s="277">
        <f t="shared" si="173"/>
        <v>2.1843617005048659E-2</v>
      </c>
      <c r="BR159" s="278">
        <f t="shared" si="174"/>
        <v>0.02</v>
      </c>
      <c r="BS159" s="279">
        <v>2.9999999999999997E-4</v>
      </c>
    </row>
    <row r="160" spans="3:71" hidden="1" x14ac:dyDescent="0.25">
      <c r="C160">
        <v>111</v>
      </c>
      <c r="D160" s="10">
        <f t="shared" ca="1" si="162"/>
        <v>48528</v>
      </c>
      <c r="E160" s="14">
        <f t="shared" ref="E160:N169" si="175">IF($C160&lt;=E$17,E$18/(($D$48+1)^(($D160-$D$49)/30)),0)</f>
        <v>0</v>
      </c>
      <c r="F160" s="14">
        <f t="shared" si="175"/>
        <v>0</v>
      </c>
      <c r="G160" s="14">
        <f t="shared" si="175"/>
        <v>0</v>
      </c>
      <c r="H160" s="14">
        <f t="shared" si="175"/>
        <v>0</v>
      </c>
      <c r="I160" s="14">
        <f t="shared" si="175"/>
        <v>0</v>
      </c>
      <c r="J160" s="14">
        <f t="shared" si="175"/>
        <v>0</v>
      </c>
      <c r="K160" s="14">
        <f t="shared" si="175"/>
        <v>0</v>
      </c>
      <c r="L160" s="14">
        <f t="shared" si="175"/>
        <v>0</v>
      </c>
      <c r="M160" s="14">
        <f t="shared" si="175"/>
        <v>0</v>
      </c>
      <c r="N160" s="14">
        <f t="shared" si="175"/>
        <v>0</v>
      </c>
      <c r="O160" s="224"/>
      <c r="Q160" s="161">
        <v>142</v>
      </c>
      <c r="R160" s="161">
        <f t="shared" si="172"/>
        <v>0</v>
      </c>
      <c r="S160" s="161">
        <f t="shared" si="138"/>
        <v>0</v>
      </c>
      <c r="T160" s="161">
        <f t="shared" si="139"/>
        <v>0</v>
      </c>
      <c r="U160" s="161">
        <f t="shared" si="140"/>
        <v>0</v>
      </c>
      <c r="V160" s="161">
        <f t="shared" si="141"/>
        <v>0</v>
      </c>
      <c r="W160" s="161">
        <f t="shared" si="142"/>
        <v>0</v>
      </c>
      <c r="X160" s="161">
        <f t="shared" si="143"/>
        <v>0</v>
      </c>
      <c r="Y160" s="161">
        <f t="shared" si="144"/>
        <v>0</v>
      </c>
      <c r="Z160" s="161">
        <f t="shared" si="145"/>
        <v>0</v>
      </c>
      <c r="AA160" s="161">
        <f t="shared" si="146"/>
        <v>0</v>
      </c>
      <c r="AC160" s="168">
        <v>142</v>
      </c>
      <c r="AD160" s="213">
        <f t="shared" ca="1" si="167"/>
        <v>49470</v>
      </c>
      <c r="AE160" s="260">
        <f t="shared" si="125"/>
        <v>0</v>
      </c>
      <c r="AG160" s="233">
        <v>142</v>
      </c>
      <c r="AH160" s="213">
        <f t="shared" ca="1" si="168"/>
        <v>49470</v>
      </c>
      <c r="AI160" s="260">
        <f t="shared" si="163"/>
        <v>0</v>
      </c>
      <c r="AJ160" s="215">
        <f t="shared" ca="1" si="164"/>
        <v>0</v>
      </c>
      <c r="AK160" s="168">
        <v>142</v>
      </c>
      <c r="AL160" s="213">
        <f t="shared" ca="1" si="169"/>
        <v>49470</v>
      </c>
      <c r="AM160" s="260">
        <f t="shared" si="165"/>
        <v>0</v>
      </c>
      <c r="AO160" s="161">
        <v>142</v>
      </c>
      <c r="AP160" s="117">
        <f t="shared" si="147"/>
        <v>0</v>
      </c>
      <c r="AQ160" s="117">
        <f t="shared" si="148"/>
        <v>0</v>
      </c>
      <c r="AR160" s="117">
        <f t="shared" si="149"/>
        <v>0</v>
      </c>
      <c r="AS160" s="161">
        <f t="shared" si="150"/>
        <v>0</v>
      </c>
      <c r="AT160" s="161">
        <f t="shared" si="151"/>
        <v>0</v>
      </c>
      <c r="AU160" s="161">
        <f t="shared" si="152"/>
        <v>0</v>
      </c>
      <c r="AV160" s="161">
        <f t="shared" si="153"/>
        <v>0</v>
      </c>
      <c r="AW160" s="161">
        <f t="shared" si="154"/>
        <v>0</v>
      </c>
      <c r="AX160" s="161">
        <f t="shared" si="155"/>
        <v>0</v>
      </c>
      <c r="AY160" s="161">
        <f t="shared" si="156"/>
        <v>0</v>
      </c>
      <c r="BD160" s="186" t="str">
        <f t="shared" si="170"/>
        <v>1PREF SOROCABA</v>
      </c>
      <c r="BE160" s="186">
        <f t="shared" si="171"/>
        <v>1</v>
      </c>
      <c r="BF160" s="209" t="str">
        <f>'Base tabelas'!A139</f>
        <v>PREF SOROCABA</v>
      </c>
      <c r="BG160" s="209" t="str">
        <f>'Base tabelas'!B139</f>
        <v>785121 - Tabela 1</v>
      </c>
      <c r="BH160" s="209">
        <f>'Base tabelas'!C139</f>
        <v>1.9599999999999999E-2</v>
      </c>
      <c r="BI160" s="209">
        <f>'Base tabelas'!D139</f>
        <v>120</v>
      </c>
      <c r="BJ160" s="209" t="str">
        <f>'Base tabelas'!E139</f>
        <v/>
      </c>
      <c r="BK160" s="209">
        <f>'Base tabelas'!F139</f>
        <v>2.1</v>
      </c>
      <c r="BL160" s="209">
        <f>'Base tabelas'!G139</f>
        <v>15</v>
      </c>
      <c r="BM160" s="209">
        <f>'Base tabelas'!H139</f>
        <v>50</v>
      </c>
      <c r="BN160" s="209" t="str">
        <f>'Base tabelas'!I139</f>
        <v>RFN - PREF SOROCABA 1 DIG PORTAB</v>
      </c>
      <c r="BO160" s="209" t="str">
        <f>'Base tabelas'!J139</f>
        <v>1,71</v>
      </c>
      <c r="BP160" s="209">
        <f>'Base tabelas'!K139</f>
        <v>1.7100000000000001E-2</v>
      </c>
      <c r="BQ160" s="277">
        <f t="shared" si="173"/>
        <v>2.2660767634837879E-2</v>
      </c>
      <c r="BR160" s="278">
        <f t="shared" si="174"/>
        <v>2.1000000000000001E-2</v>
      </c>
      <c r="BS160" s="279">
        <v>2.9999999999999997E-4</v>
      </c>
    </row>
    <row r="161" spans="3:71" hidden="1" x14ac:dyDescent="0.25">
      <c r="C161">
        <v>112</v>
      </c>
      <c r="D161" s="10">
        <f t="shared" ca="1" si="162"/>
        <v>48558</v>
      </c>
      <c r="E161" s="14">
        <f t="shared" si="175"/>
        <v>0</v>
      </c>
      <c r="F161" s="14">
        <f t="shared" si="175"/>
        <v>0</v>
      </c>
      <c r="G161" s="14">
        <f t="shared" si="175"/>
        <v>0</v>
      </c>
      <c r="H161" s="14">
        <f t="shared" si="175"/>
        <v>0</v>
      </c>
      <c r="I161" s="14">
        <f t="shared" si="175"/>
        <v>0</v>
      </c>
      <c r="J161" s="14">
        <f t="shared" si="175"/>
        <v>0</v>
      </c>
      <c r="K161" s="14">
        <f t="shared" si="175"/>
        <v>0</v>
      </c>
      <c r="L161" s="14">
        <f t="shared" si="175"/>
        <v>0</v>
      </c>
      <c r="M161" s="14">
        <f t="shared" si="175"/>
        <v>0</v>
      </c>
      <c r="N161" s="14">
        <f t="shared" si="175"/>
        <v>0</v>
      </c>
      <c r="O161" s="224"/>
      <c r="Q161" s="161">
        <v>143</v>
      </c>
      <c r="R161" s="161">
        <f t="shared" si="172"/>
        <v>0</v>
      </c>
      <c r="S161" s="161">
        <f t="shared" si="138"/>
        <v>0</v>
      </c>
      <c r="T161" s="161">
        <f t="shared" si="139"/>
        <v>0</v>
      </c>
      <c r="U161" s="161">
        <f t="shared" si="140"/>
        <v>0</v>
      </c>
      <c r="V161" s="161">
        <f t="shared" si="141"/>
        <v>0</v>
      </c>
      <c r="W161" s="161">
        <f t="shared" si="142"/>
        <v>0</v>
      </c>
      <c r="X161" s="161">
        <f t="shared" si="143"/>
        <v>0</v>
      </c>
      <c r="Y161" s="161">
        <f t="shared" si="144"/>
        <v>0</v>
      </c>
      <c r="Z161" s="161">
        <f t="shared" si="145"/>
        <v>0</v>
      </c>
      <c r="AA161" s="161">
        <f t="shared" si="146"/>
        <v>0</v>
      </c>
      <c r="AC161" s="168">
        <v>143</v>
      </c>
      <c r="AD161" s="213">
        <f t="shared" ca="1" si="167"/>
        <v>49500</v>
      </c>
      <c r="AE161" s="260">
        <f t="shared" si="125"/>
        <v>0</v>
      </c>
      <c r="AG161" s="233">
        <v>143</v>
      </c>
      <c r="AH161" s="213">
        <f t="shared" ca="1" si="168"/>
        <v>49500</v>
      </c>
      <c r="AI161" s="260">
        <f t="shared" si="163"/>
        <v>0</v>
      </c>
      <c r="AJ161" s="215">
        <f t="shared" ca="1" si="164"/>
        <v>0</v>
      </c>
      <c r="AK161" s="168">
        <v>143</v>
      </c>
      <c r="AL161" s="213">
        <f t="shared" ca="1" si="169"/>
        <v>49500</v>
      </c>
      <c r="AM161" s="260">
        <f t="shared" si="165"/>
        <v>0</v>
      </c>
      <c r="AO161" s="161">
        <v>143</v>
      </c>
      <c r="AP161" s="117">
        <f t="shared" si="147"/>
        <v>0</v>
      </c>
      <c r="AQ161" s="117">
        <f t="shared" si="148"/>
        <v>0</v>
      </c>
      <c r="AR161" s="117">
        <f t="shared" si="149"/>
        <v>0</v>
      </c>
      <c r="AS161" s="161">
        <f t="shared" si="150"/>
        <v>0</v>
      </c>
      <c r="AT161" s="161">
        <f t="shared" si="151"/>
        <v>0</v>
      </c>
      <c r="AU161" s="161">
        <f t="shared" si="152"/>
        <v>0</v>
      </c>
      <c r="AV161" s="161">
        <f t="shared" si="153"/>
        <v>0</v>
      </c>
      <c r="AW161" s="161">
        <f t="shared" si="154"/>
        <v>0</v>
      </c>
      <c r="AX161" s="161">
        <f t="shared" si="155"/>
        <v>0</v>
      </c>
      <c r="AY161" s="161">
        <f t="shared" si="156"/>
        <v>0</v>
      </c>
      <c r="BD161" s="186" t="str">
        <f t="shared" si="170"/>
        <v>1PREF SP</v>
      </c>
      <c r="BE161" s="186">
        <f t="shared" si="171"/>
        <v>1</v>
      </c>
      <c r="BF161" s="209" t="str">
        <f>'Base tabelas'!A140</f>
        <v>PREF SP</v>
      </c>
      <c r="BG161" s="209" t="str">
        <f>'Base tabelas'!B140</f>
        <v>795921 - Tabela 1</v>
      </c>
      <c r="BH161" s="209">
        <f>'Base tabelas'!C140</f>
        <v>1.95E-2</v>
      </c>
      <c r="BI161" s="209">
        <f>'Base tabelas'!D140</f>
        <v>96</v>
      </c>
      <c r="BJ161" s="209" t="str">
        <f>'Base tabelas'!E140</f>
        <v/>
      </c>
      <c r="BK161" s="209">
        <f>'Base tabelas'!F140</f>
        <v>1.95</v>
      </c>
      <c r="BL161" s="209">
        <f>'Base tabelas'!G140</f>
        <v>15</v>
      </c>
      <c r="BM161" s="209">
        <f>'Base tabelas'!H140</f>
        <v>57</v>
      </c>
      <c r="BN161" s="209" t="str">
        <f>'Base tabelas'!I140</f>
        <v>RFN - PREF SP DIG PORTAB 1</v>
      </c>
      <c r="BO161" s="209" t="str">
        <f>'Base tabelas'!J140</f>
        <v>1,19</v>
      </c>
      <c r="BP161" s="209">
        <f>'Base tabelas'!K140</f>
        <v>1.1899999999999999E-2</v>
      </c>
      <c r="BQ161" s="277">
        <f t="shared" si="173"/>
        <v>2.4236213056945122E-2</v>
      </c>
      <c r="BR161" s="278">
        <f t="shared" si="174"/>
        <v>1.95E-2</v>
      </c>
      <c r="BS161" s="279">
        <v>2.9999999999999997E-4</v>
      </c>
    </row>
    <row r="162" spans="3:71" hidden="1" x14ac:dyDescent="0.25">
      <c r="C162">
        <v>113</v>
      </c>
      <c r="D162" s="10">
        <f t="shared" ca="1" si="162"/>
        <v>48589</v>
      </c>
      <c r="E162" s="14">
        <f t="shared" si="175"/>
        <v>0</v>
      </c>
      <c r="F162" s="14">
        <f t="shared" si="175"/>
        <v>0</v>
      </c>
      <c r="G162" s="14">
        <f t="shared" si="175"/>
        <v>0</v>
      </c>
      <c r="H162" s="14">
        <f t="shared" si="175"/>
        <v>0</v>
      </c>
      <c r="I162" s="14">
        <f t="shared" si="175"/>
        <v>0</v>
      </c>
      <c r="J162" s="14">
        <f t="shared" si="175"/>
        <v>0</v>
      </c>
      <c r="K162" s="14">
        <f t="shared" si="175"/>
        <v>0</v>
      </c>
      <c r="L162" s="14">
        <f t="shared" si="175"/>
        <v>0</v>
      </c>
      <c r="M162" s="14">
        <f t="shared" si="175"/>
        <v>0</v>
      </c>
      <c r="N162" s="14">
        <f t="shared" si="175"/>
        <v>0</v>
      </c>
      <c r="O162" s="224"/>
      <c r="Q162" s="161">
        <v>144</v>
      </c>
      <c r="R162" s="161">
        <f t="shared" si="172"/>
        <v>0</v>
      </c>
      <c r="S162" s="161">
        <f t="shared" si="138"/>
        <v>0</v>
      </c>
      <c r="T162" s="161">
        <f t="shared" si="139"/>
        <v>0</v>
      </c>
      <c r="U162" s="161">
        <f t="shared" si="140"/>
        <v>0</v>
      </c>
      <c r="V162" s="161">
        <f t="shared" si="141"/>
        <v>0</v>
      </c>
      <c r="W162" s="161">
        <f t="shared" si="142"/>
        <v>0</v>
      </c>
      <c r="X162" s="161">
        <f t="shared" si="143"/>
        <v>0</v>
      </c>
      <c r="Y162" s="161">
        <f t="shared" si="144"/>
        <v>0</v>
      </c>
      <c r="Z162" s="161">
        <f t="shared" si="145"/>
        <v>0</v>
      </c>
      <c r="AA162" s="161">
        <f t="shared" si="146"/>
        <v>0</v>
      </c>
      <c r="AC162" s="168">
        <v>144</v>
      </c>
      <c r="AD162" s="213">
        <f t="shared" ca="1" si="167"/>
        <v>49531</v>
      </c>
      <c r="AE162" s="260">
        <f t="shared" si="125"/>
        <v>0</v>
      </c>
      <c r="AG162" s="233">
        <v>144</v>
      </c>
      <c r="AH162" s="213">
        <f t="shared" ca="1" si="168"/>
        <v>49531</v>
      </c>
      <c r="AI162" s="260">
        <f t="shared" si="163"/>
        <v>0</v>
      </c>
      <c r="AJ162" s="215">
        <f t="shared" ca="1" si="164"/>
        <v>0</v>
      </c>
      <c r="AK162" s="168">
        <v>144</v>
      </c>
      <c r="AL162" s="213">
        <f t="shared" ca="1" si="169"/>
        <v>49531</v>
      </c>
      <c r="AM162" s="260">
        <f t="shared" si="165"/>
        <v>0</v>
      </c>
      <c r="AO162" s="161">
        <v>144</v>
      </c>
      <c r="AP162" s="117">
        <f t="shared" si="147"/>
        <v>0</v>
      </c>
      <c r="AQ162" s="117">
        <f t="shared" si="148"/>
        <v>0</v>
      </c>
      <c r="AR162" s="117">
        <f t="shared" si="149"/>
        <v>0</v>
      </c>
      <c r="AS162" s="161">
        <f t="shared" si="150"/>
        <v>0</v>
      </c>
      <c r="AT162" s="161">
        <f t="shared" si="151"/>
        <v>0</v>
      </c>
      <c r="AU162" s="161">
        <f t="shared" si="152"/>
        <v>0</v>
      </c>
      <c r="AV162" s="161">
        <f t="shared" si="153"/>
        <v>0</v>
      </c>
      <c r="AW162" s="161">
        <f t="shared" si="154"/>
        <v>0</v>
      </c>
      <c r="AX162" s="161">
        <f t="shared" si="155"/>
        <v>0</v>
      </c>
      <c r="AY162" s="161">
        <f t="shared" si="156"/>
        <v>0</v>
      </c>
      <c r="BD162" s="186" t="str">
        <f t="shared" si="170"/>
        <v>2PREF SP</v>
      </c>
      <c r="BE162" s="186">
        <f t="shared" si="171"/>
        <v>2</v>
      </c>
      <c r="BF162" s="209" t="str">
        <f>'Base tabelas'!A141</f>
        <v>PREF SP</v>
      </c>
      <c r="BG162" s="209" t="str">
        <f>'Base tabelas'!B141</f>
        <v>795925 - Tabela 2</v>
      </c>
      <c r="BH162" s="209">
        <f>'Base tabelas'!C141</f>
        <v>1.8500000000000003E-2</v>
      </c>
      <c r="BI162" s="209">
        <f>'Base tabelas'!D141</f>
        <v>96</v>
      </c>
      <c r="BJ162" s="209" t="str">
        <f>'Base tabelas'!E141</f>
        <v/>
      </c>
      <c r="BK162" s="209">
        <f>'Base tabelas'!F141</f>
        <v>1.95</v>
      </c>
      <c r="BL162" s="209">
        <f>'Base tabelas'!G141</f>
        <v>15</v>
      </c>
      <c r="BM162" s="209">
        <f>'Base tabelas'!H141</f>
        <v>57</v>
      </c>
      <c r="BN162" s="209" t="str">
        <f>'Base tabelas'!I141</f>
        <v>RFN - PREF SP DIG PORTAB 2</v>
      </c>
      <c r="BO162" s="209" t="str">
        <f>'Base tabelas'!J141</f>
        <v>1,19</v>
      </c>
      <c r="BP162" s="209">
        <f>'Base tabelas'!K141</f>
        <v>1.1899999999999999E-2</v>
      </c>
      <c r="BQ162" s="277">
        <f t="shared" si="173"/>
        <v>2.3402343252657325E-2</v>
      </c>
      <c r="BR162" s="278">
        <f t="shared" si="174"/>
        <v>1.95E-2</v>
      </c>
      <c r="BS162" s="279">
        <v>2.9999999999999997E-4</v>
      </c>
    </row>
    <row r="163" spans="3:71" hidden="1" x14ac:dyDescent="0.25">
      <c r="C163">
        <v>114</v>
      </c>
      <c r="D163" s="10">
        <f t="shared" ca="1" si="162"/>
        <v>48620</v>
      </c>
      <c r="E163" s="14">
        <f t="shared" si="175"/>
        <v>0</v>
      </c>
      <c r="F163" s="14">
        <f t="shared" si="175"/>
        <v>0</v>
      </c>
      <c r="G163" s="14">
        <f t="shared" si="175"/>
        <v>0</v>
      </c>
      <c r="H163" s="14">
        <f t="shared" si="175"/>
        <v>0</v>
      </c>
      <c r="I163" s="14">
        <f t="shared" si="175"/>
        <v>0</v>
      </c>
      <c r="J163" s="14">
        <f t="shared" si="175"/>
        <v>0</v>
      </c>
      <c r="K163" s="14">
        <f t="shared" si="175"/>
        <v>0</v>
      </c>
      <c r="L163" s="14">
        <f t="shared" si="175"/>
        <v>0</v>
      </c>
      <c r="M163" s="14">
        <f t="shared" si="175"/>
        <v>0</v>
      </c>
      <c r="N163" s="14">
        <f t="shared" si="175"/>
        <v>0</v>
      </c>
      <c r="O163" s="224"/>
      <c r="R163" s="225" t="e">
        <f>XIRR(R18:R162,$AD$18:$AD$114,0)</f>
        <v>#NUM!</v>
      </c>
      <c r="S163" s="225" t="e">
        <f t="shared" ref="S163:AA163" si="176">XIRR(S18:S162,$AD$18:$AD$114,0)</f>
        <v>#NUM!</v>
      </c>
      <c r="T163" s="225" t="e">
        <f t="shared" si="176"/>
        <v>#NUM!</v>
      </c>
      <c r="U163" s="225" t="e">
        <f t="shared" si="176"/>
        <v>#NUM!</v>
      </c>
      <c r="V163" s="225" t="e">
        <f t="shared" si="176"/>
        <v>#NUM!</v>
      </c>
      <c r="W163" s="225" t="e">
        <f t="shared" si="176"/>
        <v>#NUM!</v>
      </c>
      <c r="X163" s="225" t="e">
        <f t="shared" si="176"/>
        <v>#NUM!</v>
      </c>
      <c r="Y163" s="225" t="e">
        <f t="shared" si="176"/>
        <v>#NUM!</v>
      </c>
      <c r="Z163" s="225" t="e">
        <f t="shared" si="176"/>
        <v>#NUM!</v>
      </c>
      <c r="AA163" s="225" t="e">
        <f t="shared" si="176"/>
        <v>#NUM!</v>
      </c>
      <c r="AE163" s="227">
        <f ca="1">XIRR(AE18:AE162,AD18:AD162,0)</f>
        <v>0.16799551269531249</v>
      </c>
      <c r="AI163" s="227">
        <f ca="1">XIRR(AI18:AI162,AH18:AH162,0)</f>
        <v>0.25884159667968754</v>
      </c>
      <c r="AJ163" s="215">
        <f ca="1">SUM(AJ19:AJ162)</f>
        <v>26131.602186009935</v>
      </c>
      <c r="AL163" s="213"/>
      <c r="AM163" s="286">
        <f ca="1">XIRR(AM18:AM162,AL18:AL162,0)</f>
        <v>0.25177606933593744</v>
      </c>
      <c r="AP163" s="287">
        <f ca="1">XIRR(AP18:AP162,$AD$18:$AD$162,0)</f>
        <v>0.16799551269531249</v>
      </c>
      <c r="AQ163" s="287" t="e">
        <f t="shared" ref="AQ163:AY163" ca="1" si="177">XIRR(AQ18:AQ162,$AD$18:$AD$162,0)</f>
        <v>#NUM!</v>
      </c>
      <c r="AR163" s="287" t="e">
        <f t="shared" ca="1" si="177"/>
        <v>#NUM!</v>
      </c>
      <c r="AS163" s="287" t="e">
        <f t="shared" ca="1" si="177"/>
        <v>#NUM!</v>
      </c>
      <c r="AT163" s="287" t="e">
        <f t="shared" ca="1" si="177"/>
        <v>#NUM!</v>
      </c>
      <c r="AU163" s="287" t="e">
        <f t="shared" ca="1" si="177"/>
        <v>#NUM!</v>
      </c>
      <c r="AV163" s="287" t="e">
        <f t="shared" ca="1" si="177"/>
        <v>#NUM!</v>
      </c>
      <c r="AW163" s="287" t="e">
        <f t="shared" ca="1" si="177"/>
        <v>#NUM!</v>
      </c>
      <c r="AX163" s="287" t="e">
        <f t="shared" ca="1" si="177"/>
        <v>#NUM!</v>
      </c>
      <c r="AY163" s="287" t="e">
        <f t="shared" ca="1" si="177"/>
        <v>#NUM!</v>
      </c>
      <c r="BD163" s="186" t="str">
        <f t="shared" si="170"/>
        <v>3PREF SP</v>
      </c>
      <c r="BE163" s="186">
        <f t="shared" si="171"/>
        <v>3</v>
      </c>
      <c r="BF163" s="209" t="str">
        <f>'Base tabelas'!A142</f>
        <v>PREF SP</v>
      </c>
      <c r="BG163" s="209" t="str">
        <f>'Base tabelas'!B142</f>
        <v>795926 - Tabela 3</v>
      </c>
      <c r="BH163" s="209">
        <f>'Base tabelas'!C142</f>
        <v>1.7399999999999999E-2</v>
      </c>
      <c r="BI163" s="209">
        <f>'Base tabelas'!D142</f>
        <v>96</v>
      </c>
      <c r="BJ163" s="209" t="str">
        <f>'Base tabelas'!E142</f>
        <v/>
      </c>
      <c r="BK163" s="209">
        <f>'Base tabelas'!F142</f>
        <v>1.95</v>
      </c>
      <c r="BL163" s="209">
        <f>'Base tabelas'!G142</f>
        <v>15</v>
      </c>
      <c r="BM163" s="209">
        <f>'Base tabelas'!H142</f>
        <v>57</v>
      </c>
      <c r="BN163" s="209" t="str">
        <f>'Base tabelas'!I142</f>
        <v>RFN - PREF SP DIG PORTAB 3</v>
      </c>
      <c r="BO163" s="209" t="str">
        <f>'Base tabelas'!J142</f>
        <v>1,19</v>
      </c>
      <c r="BP163" s="209">
        <f>'Base tabelas'!K142</f>
        <v>1.1899999999999999E-2</v>
      </c>
      <c r="BQ163" s="277">
        <f t="shared" si="173"/>
        <v>2.2500677638346542E-2</v>
      </c>
      <c r="BR163" s="278">
        <f t="shared" si="174"/>
        <v>1.95E-2</v>
      </c>
      <c r="BS163" s="279">
        <v>2.9999999999999997E-4</v>
      </c>
    </row>
    <row r="164" spans="3:71" hidden="1" x14ac:dyDescent="0.25">
      <c r="C164">
        <v>115</v>
      </c>
      <c r="D164" s="10">
        <f t="shared" ca="1" si="162"/>
        <v>48648</v>
      </c>
      <c r="E164" s="14">
        <f t="shared" si="175"/>
        <v>0</v>
      </c>
      <c r="F164" s="14">
        <f t="shared" si="175"/>
        <v>0</v>
      </c>
      <c r="G164" s="14">
        <f t="shared" si="175"/>
        <v>0</v>
      </c>
      <c r="H164" s="14">
        <f t="shared" si="175"/>
        <v>0</v>
      </c>
      <c r="I164" s="14">
        <f t="shared" si="175"/>
        <v>0</v>
      </c>
      <c r="J164" s="14">
        <f t="shared" si="175"/>
        <v>0</v>
      </c>
      <c r="K164" s="14">
        <f t="shared" si="175"/>
        <v>0</v>
      </c>
      <c r="L164" s="14">
        <f t="shared" si="175"/>
        <v>0</v>
      </c>
      <c r="M164" s="14">
        <f t="shared" si="175"/>
        <v>0</v>
      </c>
      <c r="N164" s="14">
        <f t="shared" si="175"/>
        <v>0</v>
      </c>
      <c r="O164" s="224"/>
      <c r="R164" s="226" t="e">
        <f>(R163+1)^(30/365)-1</f>
        <v>#NUM!</v>
      </c>
      <c r="S164" s="226" t="e">
        <f t="shared" ref="S164:AA164" si="178">(S163+1)^(30/365)-1</f>
        <v>#NUM!</v>
      </c>
      <c r="T164" s="226" t="e">
        <f t="shared" si="178"/>
        <v>#NUM!</v>
      </c>
      <c r="U164" s="226" t="e">
        <f t="shared" si="178"/>
        <v>#NUM!</v>
      </c>
      <c r="V164" s="226" t="e">
        <f t="shared" si="178"/>
        <v>#NUM!</v>
      </c>
      <c r="W164" s="226" t="e">
        <f t="shared" si="178"/>
        <v>#NUM!</v>
      </c>
      <c r="X164" s="226" t="e">
        <f t="shared" si="178"/>
        <v>#NUM!</v>
      </c>
      <c r="Y164" s="226" t="e">
        <f t="shared" si="178"/>
        <v>#NUM!</v>
      </c>
      <c r="Z164" s="226" t="e">
        <f t="shared" si="178"/>
        <v>#NUM!</v>
      </c>
      <c r="AA164" s="226" t="e">
        <f t="shared" si="178"/>
        <v>#NUM!</v>
      </c>
      <c r="AE164" s="226">
        <f ca="1">(AE163+1)^(30/365)-1</f>
        <v>1.2845283846982802E-2</v>
      </c>
      <c r="AI164" s="226">
        <f ca="1">(AI163+1)^(30/365)-1</f>
        <v>1.9099999832387304E-2</v>
      </c>
      <c r="AL164" s="213"/>
      <c r="AM164" s="226">
        <f ca="1">(AM163+1)^(30/365)-1</f>
        <v>1.8628653770972781E-2</v>
      </c>
      <c r="AP164" s="288">
        <f t="shared" ref="AP164" ca="1" si="179">(AP163+1)^(30/365)-1</f>
        <v>1.2845283846982802E-2</v>
      </c>
      <c r="AQ164" s="288" t="e">
        <f t="shared" ref="AQ164:AY164" ca="1" si="180">(AQ163+1)^(30/365)-1</f>
        <v>#NUM!</v>
      </c>
      <c r="AR164" s="288" t="e">
        <f t="shared" ca="1" si="180"/>
        <v>#NUM!</v>
      </c>
      <c r="AS164" s="288" t="e">
        <f t="shared" ca="1" si="180"/>
        <v>#NUM!</v>
      </c>
      <c r="AT164" s="288" t="e">
        <f t="shared" ca="1" si="180"/>
        <v>#NUM!</v>
      </c>
      <c r="AU164" s="288" t="e">
        <f t="shared" ca="1" si="180"/>
        <v>#NUM!</v>
      </c>
      <c r="AV164" s="288" t="e">
        <f t="shared" ca="1" si="180"/>
        <v>#NUM!</v>
      </c>
      <c r="AW164" s="288" t="e">
        <f t="shared" ca="1" si="180"/>
        <v>#NUM!</v>
      </c>
      <c r="AX164" s="288" t="e">
        <f t="shared" ca="1" si="180"/>
        <v>#NUM!</v>
      </c>
      <c r="AY164" s="288" t="e">
        <f t="shared" ca="1" si="180"/>
        <v>#NUM!</v>
      </c>
      <c r="BD164" s="186" t="str">
        <f t="shared" si="170"/>
        <v>4PREF SP</v>
      </c>
      <c r="BE164" s="186">
        <f t="shared" si="171"/>
        <v>4</v>
      </c>
      <c r="BF164" s="209" t="str">
        <f>'Base tabelas'!A143</f>
        <v>PREF SP</v>
      </c>
      <c r="BG164" s="209" t="str">
        <f>'Base tabelas'!B143</f>
        <v>795927 - Tabela 4</v>
      </c>
      <c r="BH164" s="209">
        <f>'Base tabelas'!C143</f>
        <v>1.6899999999999998E-2</v>
      </c>
      <c r="BI164" s="209">
        <f>'Base tabelas'!D143</f>
        <v>96</v>
      </c>
      <c r="BJ164" s="209" t="str">
        <f>'Base tabelas'!E143</f>
        <v/>
      </c>
      <c r="BK164" s="209">
        <f>'Base tabelas'!F143</f>
        <v>1.95</v>
      </c>
      <c r="BL164" s="209">
        <f>'Base tabelas'!G143</f>
        <v>15</v>
      </c>
      <c r="BM164" s="209">
        <f>'Base tabelas'!H143</f>
        <v>57</v>
      </c>
      <c r="BN164" s="209" t="str">
        <f>'Base tabelas'!I143</f>
        <v>RFN - PREF SP DIG PORTAB 4</v>
      </c>
      <c r="BO164" s="209" t="str">
        <f>'Base tabelas'!J143</f>
        <v>1,19</v>
      </c>
      <c r="BP164" s="209">
        <f>'Base tabelas'!K143</f>
        <v>1.1899999999999999E-2</v>
      </c>
      <c r="BQ164" s="277">
        <f t="shared" si="173"/>
        <v>2.2096354444698933E-2</v>
      </c>
      <c r="BR164" s="278">
        <f t="shared" si="174"/>
        <v>1.95E-2</v>
      </c>
      <c r="BS164" s="279">
        <v>2.9999999999999997E-4</v>
      </c>
    </row>
    <row r="165" spans="3:71" hidden="1" x14ac:dyDescent="0.25">
      <c r="C165">
        <v>116</v>
      </c>
      <c r="D165" s="10">
        <f t="shared" ca="1" si="162"/>
        <v>48679</v>
      </c>
      <c r="E165" s="14">
        <f t="shared" si="175"/>
        <v>0</v>
      </c>
      <c r="F165" s="14">
        <f t="shared" si="175"/>
        <v>0</v>
      </c>
      <c r="G165" s="14">
        <f t="shared" si="175"/>
        <v>0</v>
      </c>
      <c r="H165" s="14">
        <f t="shared" si="175"/>
        <v>0</v>
      </c>
      <c r="I165" s="14">
        <f t="shared" si="175"/>
        <v>0</v>
      </c>
      <c r="J165" s="14">
        <f t="shared" si="175"/>
        <v>0</v>
      </c>
      <c r="K165" s="14">
        <f t="shared" si="175"/>
        <v>0</v>
      </c>
      <c r="L165" s="14">
        <f t="shared" si="175"/>
        <v>0</v>
      </c>
      <c r="M165" s="14">
        <f t="shared" si="175"/>
        <v>0</v>
      </c>
      <c r="N165" s="14">
        <f t="shared" si="175"/>
        <v>0</v>
      </c>
      <c r="O165" s="224"/>
      <c r="BD165" s="186" t="str">
        <f t="shared" si="170"/>
        <v>1PREF UBERABA</v>
      </c>
      <c r="BE165" s="186">
        <f t="shared" si="171"/>
        <v>1</v>
      </c>
      <c r="BF165" s="209" t="str">
        <f>'Base tabelas'!A144</f>
        <v>PREF UBERABA</v>
      </c>
      <c r="BG165" s="209" t="str">
        <f>'Base tabelas'!B144</f>
        <v>725062 - Tabela 2</v>
      </c>
      <c r="BH165" s="209">
        <f>'Base tabelas'!C144</f>
        <v>1.9900000000000001E-2</v>
      </c>
      <c r="BI165" s="209">
        <f>'Base tabelas'!D144</f>
        <v>96</v>
      </c>
      <c r="BJ165" s="209" t="str">
        <f>'Base tabelas'!E144</f>
        <v/>
      </c>
      <c r="BK165" s="209">
        <f>'Base tabelas'!F144</f>
        <v>2.4</v>
      </c>
      <c r="BL165" s="209">
        <f>'Base tabelas'!G144</f>
        <v>10</v>
      </c>
      <c r="BM165" s="209">
        <f>'Base tabelas'!H144</f>
        <v>87</v>
      </c>
      <c r="BN165" s="209" t="str">
        <f>'Base tabelas'!I144</f>
        <v>RFN - PREF UBERABA DIG 2 PORTAB PLUS</v>
      </c>
      <c r="BO165" s="209" t="str">
        <f>'Base tabelas'!J144</f>
        <v>1,6</v>
      </c>
      <c r="BP165" s="209">
        <f>'Base tabelas'!K144</f>
        <v>1.6E-2</v>
      </c>
      <c r="BQ165" s="277">
        <f t="shared" si="173"/>
        <v>2.5062467011710637E-2</v>
      </c>
      <c r="BR165" s="278">
        <f t="shared" si="174"/>
        <v>2.4E-2</v>
      </c>
      <c r="BS165" s="279">
        <v>2.9999999999999997E-4</v>
      </c>
    </row>
    <row r="166" spans="3:71" hidden="1" x14ac:dyDescent="0.25">
      <c r="C166">
        <v>117</v>
      </c>
      <c r="D166" s="10">
        <f t="shared" ca="1" si="162"/>
        <v>48709</v>
      </c>
      <c r="E166" s="14">
        <f t="shared" si="175"/>
        <v>0</v>
      </c>
      <c r="F166" s="14">
        <f t="shared" si="175"/>
        <v>0</v>
      </c>
      <c r="G166" s="14">
        <f t="shared" si="175"/>
        <v>0</v>
      </c>
      <c r="H166" s="14">
        <f t="shared" si="175"/>
        <v>0</v>
      </c>
      <c r="I166" s="14">
        <f t="shared" si="175"/>
        <v>0</v>
      </c>
      <c r="J166" s="14">
        <f t="shared" si="175"/>
        <v>0</v>
      </c>
      <c r="K166" s="14">
        <f t="shared" si="175"/>
        <v>0</v>
      </c>
      <c r="L166" s="14">
        <f t="shared" si="175"/>
        <v>0</v>
      </c>
      <c r="M166" s="14">
        <f t="shared" si="175"/>
        <v>0</v>
      </c>
      <c r="N166" s="14">
        <f t="shared" si="175"/>
        <v>0</v>
      </c>
      <c r="O166" s="224"/>
      <c r="BD166" s="186" t="str">
        <f t="shared" si="170"/>
        <v>2PREF UBERABA</v>
      </c>
      <c r="BE166" s="186">
        <f t="shared" si="171"/>
        <v>2</v>
      </c>
      <c r="BF166" s="209" t="str">
        <f>'Base tabelas'!A145</f>
        <v>PREF UBERABA</v>
      </c>
      <c r="BG166" s="209" t="str">
        <f>'Base tabelas'!B145</f>
        <v>725063 - Tabela 3</v>
      </c>
      <c r="BH166" s="209">
        <f>'Base tabelas'!C145</f>
        <v>1.89E-2</v>
      </c>
      <c r="BI166" s="209">
        <f>'Base tabelas'!D145</f>
        <v>96</v>
      </c>
      <c r="BJ166" s="209" t="str">
        <f>'Base tabelas'!E145</f>
        <v/>
      </c>
      <c r="BK166" s="209">
        <f>'Base tabelas'!F145</f>
        <v>2.4</v>
      </c>
      <c r="BL166" s="209">
        <f>'Base tabelas'!G145</f>
        <v>10</v>
      </c>
      <c r="BM166" s="209">
        <f>'Base tabelas'!H145</f>
        <v>86</v>
      </c>
      <c r="BN166" s="209" t="str">
        <f>'Base tabelas'!I145</f>
        <v>RFN - PREF UBERABA DIG 3 PORTAB PLUS</v>
      </c>
      <c r="BO166" s="209" t="str">
        <f>'Base tabelas'!J145</f>
        <v>1,6</v>
      </c>
      <c r="BP166" s="209">
        <f>'Base tabelas'!K145</f>
        <v>1.6E-2</v>
      </c>
      <c r="BQ166" s="277">
        <f t="shared" si="173"/>
        <v>2.4167783015820603E-2</v>
      </c>
      <c r="BR166" s="278">
        <f t="shared" si="174"/>
        <v>2.4E-2</v>
      </c>
      <c r="BS166" s="279">
        <v>2.9999999999999997E-4</v>
      </c>
    </row>
    <row r="167" spans="3:71" hidden="1" x14ac:dyDescent="0.25">
      <c r="C167">
        <v>118</v>
      </c>
      <c r="D167" s="10">
        <f t="shared" ca="1" si="162"/>
        <v>48740</v>
      </c>
      <c r="E167" s="14">
        <f t="shared" si="175"/>
        <v>0</v>
      </c>
      <c r="F167" s="14">
        <f t="shared" si="175"/>
        <v>0</v>
      </c>
      <c r="G167" s="14">
        <f t="shared" si="175"/>
        <v>0</v>
      </c>
      <c r="H167" s="14">
        <f t="shared" si="175"/>
        <v>0</v>
      </c>
      <c r="I167" s="14">
        <f t="shared" si="175"/>
        <v>0</v>
      </c>
      <c r="J167" s="14">
        <f t="shared" si="175"/>
        <v>0</v>
      </c>
      <c r="K167" s="14">
        <f t="shared" si="175"/>
        <v>0</v>
      </c>
      <c r="L167" s="14">
        <f t="shared" si="175"/>
        <v>0</v>
      </c>
      <c r="M167" s="14">
        <f t="shared" si="175"/>
        <v>0</v>
      </c>
      <c r="N167" s="14">
        <f t="shared" si="175"/>
        <v>0</v>
      </c>
      <c r="O167" s="224"/>
      <c r="BD167" s="186" t="str">
        <f t="shared" si="170"/>
        <v xml:space="preserve">1PREF. AQUIRAZ </v>
      </c>
      <c r="BE167" s="186">
        <f t="shared" si="171"/>
        <v>1</v>
      </c>
      <c r="BF167" s="209" t="str">
        <f>'Base tabelas'!A146</f>
        <v xml:space="preserve">PREF. AQUIRAZ </v>
      </c>
      <c r="BG167" s="209" t="str">
        <f>'Base tabelas'!B146</f>
        <v>785621 - Tabela 1</v>
      </c>
      <c r="BH167" s="209">
        <f>'Base tabelas'!C146</f>
        <v>2.4900000000000002E-2</v>
      </c>
      <c r="BI167" s="209">
        <f>'Base tabelas'!D146</f>
        <v>96</v>
      </c>
      <c r="BJ167" s="209" t="str">
        <f>'Base tabelas'!E146</f>
        <v/>
      </c>
      <c r="BK167" s="209">
        <f>'Base tabelas'!F146</f>
        <v>2.48</v>
      </c>
      <c r="BL167" s="209">
        <f>'Base tabelas'!G146</f>
        <v>10</v>
      </c>
      <c r="BM167" s="209">
        <f>'Base tabelas'!H146</f>
        <v>50</v>
      </c>
      <c r="BN167" s="209" t="str">
        <f>'Base tabelas'!I146</f>
        <v>RFN - PREF AQUIRAZ PORTAB 1 DIG</v>
      </c>
      <c r="BO167" s="209" t="str">
        <f>'Base tabelas'!J146</f>
        <v>1,73</v>
      </c>
      <c r="BP167" s="209">
        <f>'Base tabelas'!K146</f>
        <v>1.7299999999999999E-2</v>
      </c>
      <c r="BQ167" s="277">
        <f t="shared" si="173"/>
        <v>2.879066114107388E-2</v>
      </c>
      <c r="BR167" s="278">
        <f t="shared" si="174"/>
        <v>2.4799999999999999E-2</v>
      </c>
      <c r="BS167" s="279">
        <v>2.9999999999999997E-4</v>
      </c>
    </row>
    <row r="168" spans="3:71" hidden="1" x14ac:dyDescent="0.25">
      <c r="C168">
        <v>119</v>
      </c>
      <c r="D168" s="10">
        <f t="shared" ca="1" si="162"/>
        <v>48770</v>
      </c>
      <c r="E168" s="14">
        <f t="shared" si="175"/>
        <v>0</v>
      </c>
      <c r="F168" s="14">
        <f t="shared" si="175"/>
        <v>0</v>
      </c>
      <c r="G168" s="14">
        <f t="shared" si="175"/>
        <v>0</v>
      </c>
      <c r="H168" s="14">
        <f t="shared" si="175"/>
        <v>0</v>
      </c>
      <c r="I168" s="14">
        <f t="shared" si="175"/>
        <v>0</v>
      </c>
      <c r="J168" s="14">
        <f t="shared" si="175"/>
        <v>0</v>
      </c>
      <c r="K168" s="14">
        <f t="shared" si="175"/>
        <v>0</v>
      </c>
      <c r="L168" s="14">
        <f t="shared" si="175"/>
        <v>0</v>
      </c>
      <c r="M168" s="14">
        <f t="shared" si="175"/>
        <v>0</v>
      </c>
      <c r="N168" s="14">
        <f t="shared" si="175"/>
        <v>0</v>
      </c>
      <c r="O168" s="224"/>
      <c r="BD168" s="186" t="str">
        <f t="shared" si="170"/>
        <v xml:space="preserve">2PREF. AQUIRAZ </v>
      </c>
      <c r="BE168" s="186">
        <f t="shared" si="171"/>
        <v>2</v>
      </c>
      <c r="BF168" s="209" t="str">
        <f>'Base tabelas'!A147</f>
        <v xml:space="preserve">PREF. AQUIRAZ </v>
      </c>
      <c r="BG168" s="209" t="str">
        <f>'Base tabelas'!B147</f>
        <v>785622 - Tabela 2</v>
      </c>
      <c r="BH168" s="209">
        <f>'Base tabelas'!C147</f>
        <v>2.3900000000000001E-2</v>
      </c>
      <c r="BI168" s="209">
        <f>'Base tabelas'!D147</f>
        <v>96</v>
      </c>
      <c r="BJ168" s="209" t="str">
        <f>'Base tabelas'!E147</f>
        <v/>
      </c>
      <c r="BK168" s="209">
        <f>'Base tabelas'!F147</f>
        <v>2.48</v>
      </c>
      <c r="BL168" s="209">
        <f>'Base tabelas'!G147</f>
        <v>10</v>
      </c>
      <c r="BM168" s="209">
        <f>'Base tabelas'!H147</f>
        <v>50</v>
      </c>
      <c r="BN168" s="209" t="str">
        <f>'Base tabelas'!I147</f>
        <v>RFN - PREF AQUIRAZ PORTAB 2 DIG</v>
      </c>
      <c r="BO168" s="209" t="str">
        <f>'Base tabelas'!J147</f>
        <v>1,73</v>
      </c>
      <c r="BP168" s="209">
        <f>'Base tabelas'!K147</f>
        <v>1.7299999999999999E-2</v>
      </c>
      <c r="BQ168" s="277">
        <f t="shared" si="173"/>
        <v>2.7901889851741621E-2</v>
      </c>
      <c r="BR168" s="278">
        <f t="shared" si="174"/>
        <v>2.4799999999999999E-2</v>
      </c>
      <c r="BS168" s="279">
        <v>2.9999999999999997E-4</v>
      </c>
    </row>
    <row r="169" spans="3:71" hidden="1" x14ac:dyDescent="0.25">
      <c r="C169">
        <v>120</v>
      </c>
      <c r="D169" s="10">
        <f t="shared" ca="1" si="162"/>
        <v>48801</v>
      </c>
      <c r="E169" s="14">
        <f t="shared" si="175"/>
        <v>0</v>
      </c>
      <c r="F169" s="14">
        <f t="shared" si="175"/>
        <v>0</v>
      </c>
      <c r="G169" s="14">
        <f t="shared" si="175"/>
        <v>0</v>
      </c>
      <c r="H169" s="14">
        <f t="shared" si="175"/>
        <v>0</v>
      </c>
      <c r="I169" s="14">
        <f t="shared" si="175"/>
        <v>0</v>
      </c>
      <c r="J169" s="14">
        <f t="shared" si="175"/>
        <v>0</v>
      </c>
      <c r="K169" s="14">
        <f t="shared" si="175"/>
        <v>0</v>
      </c>
      <c r="L169" s="14">
        <f t="shared" si="175"/>
        <v>0</v>
      </c>
      <c r="M169" s="14">
        <f t="shared" si="175"/>
        <v>0</v>
      </c>
      <c r="N169" s="14">
        <f t="shared" si="175"/>
        <v>0</v>
      </c>
      <c r="O169" s="224"/>
      <c r="BD169" s="186" t="str">
        <f t="shared" si="170"/>
        <v xml:space="preserve">3PREF. AQUIRAZ </v>
      </c>
      <c r="BE169" s="186">
        <f t="shared" si="171"/>
        <v>3</v>
      </c>
      <c r="BF169" s="209" t="str">
        <f>'Base tabelas'!A148</f>
        <v xml:space="preserve">PREF. AQUIRAZ </v>
      </c>
      <c r="BG169" s="209" t="str">
        <f>'Base tabelas'!B148</f>
        <v>785623 - Tabela 3</v>
      </c>
      <c r="BH169" s="209">
        <f>'Base tabelas'!C148</f>
        <v>2.29E-2</v>
      </c>
      <c r="BI169" s="209">
        <f>'Base tabelas'!D148</f>
        <v>96</v>
      </c>
      <c r="BJ169" s="209" t="str">
        <f>'Base tabelas'!E148</f>
        <v/>
      </c>
      <c r="BK169" s="209">
        <f>'Base tabelas'!F148</f>
        <v>2.48</v>
      </c>
      <c r="BL169" s="209">
        <f>'Base tabelas'!G148</f>
        <v>10</v>
      </c>
      <c r="BM169" s="209">
        <f>'Base tabelas'!H148</f>
        <v>50</v>
      </c>
      <c r="BN169" s="209" t="str">
        <f>'Base tabelas'!I148</f>
        <v>RFN - PREF AQUIRAZ PORTAB 3 DIG</v>
      </c>
      <c r="BO169" s="209" t="str">
        <f>'Base tabelas'!J148</f>
        <v>1,73</v>
      </c>
      <c r="BP169" s="209">
        <f>'Base tabelas'!K148</f>
        <v>1.7299999999999999E-2</v>
      </c>
      <c r="BQ169" s="277">
        <f t="shared" si="173"/>
        <v>2.7024130488156124E-2</v>
      </c>
      <c r="BR169" s="278">
        <f t="shared" si="174"/>
        <v>2.4799999999999999E-2</v>
      </c>
      <c r="BS169" s="279">
        <v>2.9999999999999997E-4</v>
      </c>
    </row>
    <row r="170" spans="3:71" hidden="1" x14ac:dyDescent="0.25">
      <c r="C170">
        <v>121</v>
      </c>
      <c r="D170" s="10">
        <f t="shared" ca="1" si="162"/>
        <v>48832</v>
      </c>
      <c r="E170" s="14">
        <f t="shared" ref="E170:N179" si="181">IF($C170&lt;=E$17,E$18/(($D$48+1)^(($D170-$D$49)/30)),0)</f>
        <v>0</v>
      </c>
      <c r="F170" s="14">
        <f t="shared" si="181"/>
        <v>0</v>
      </c>
      <c r="G170" s="14">
        <f t="shared" si="181"/>
        <v>0</v>
      </c>
      <c r="H170" s="14">
        <f t="shared" si="181"/>
        <v>0</v>
      </c>
      <c r="I170" s="14">
        <f t="shared" si="181"/>
        <v>0</v>
      </c>
      <c r="J170" s="14">
        <f t="shared" si="181"/>
        <v>0</v>
      </c>
      <c r="K170" s="14">
        <f t="shared" si="181"/>
        <v>0</v>
      </c>
      <c r="L170" s="14">
        <f t="shared" si="181"/>
        <v>0</v>
      </c>
      <c r="M170" s="14">
        <f t="shared" si="181"/>
        <v>0</v>
      </c>
      <c r="N170" s="14">
        <f t="shared" si="181"/>
        <v>0</v>
      </c>
      <c r="O170" s="224"/>
      <c r="BD170" s="186" t="str">
        <f t="shared" si="170"/>
        <v xml:space="preserve">4PREF. AQUIRAZ </v>
      </c>
      <c r="BE170" s="186">
        <f t="shared" si="171"/>
        <v>4</v>
      </c>
      <c r="BF170" s="209" t="str">
        <f>'Base tabelas'!A149</f>
        <v xml:space="preserve">PREF. AQUIRAZ </v>
      </c>
      <c r="BG170" s="209" t="str">
        <f>'Base tabelas'!B149</f>
        <v>785634 - Tabela 4</v>
      </c>
      <c r="BH170" s="209">
        <f>'Base tabelas'!C149</f>
        <v>2.1899999999999999E-2</v>
      </c>
      <c r="BI170" s="209">
        <f>'Base tabelas'!D149</f>
        <v>96</v>
      </c>
      <c r="BJ170" s="209" t="str">
        <f>'Base tabelas'!E149</f>
        <v/>
      </c>
      <c r="BK170" s="209">
        <f>'Base tabelas'!F149</f>
        <v>2.48</v>
      </c>
      <c r="BL170" s="209">
        <f>'Base tabelas'!G149</f>
        <v>10</v>
      </c>
      <c r="BM170" s="209">
        <f>'Base tabelas'!H149</f>
        <v>50</v>
      </c>
      <c r="BN170" s="209" t="str">
        <f>'Base tabelas'!I149</f>
        <v xml:space="preserve">RFN - PREF AQUIRAZ PORTAB 4 DIG </v>
      </c>
      <c r="BO170" s="209" t="str">
        <f>'Base tabelas'!J149</f>
        <v>1,73</v>
      </c>
      <c r="BP170" s="209">
        <f>'Base tabelas'!K149</f>
        <v>1.7299999999999999E-2</v>
      </c>
      <c r="BQ170" s="277">
        <f t="shared" si="173"/>
        <v>2.6157763575381677E-2</v>
      </c>
      <c r="BR170" s="278">
        <f t="shared" si="174"/>
        <v>2.4799999999999999E-2</v>
      </c>
      <c r="BS170" s="279">
        <v>2.9999999999999997E-4</v>
      </c>
    </row>
    <row r="171" spans="3:71" hidden="1" x14ac:dyDescent="0.25">
      <c r="C171">
        <v>122</v>
      </c>
      <c r="D171" s="10">
        <f t="shared" ca="1" si="162"/>
        <v>48862</v>
      </c>
      <c r="E171" s="14">
        <f t="shared" si="181"/>
        <v>0</v>
      </c>
      <c r="F171" s="14">
        <f t="shared" si="181"/>
        <v>0</v>
      </c>
      <c r="G171" s="14">
        <f t="shared" si="181"/>
        <v>0</v>
      </c>
      <c r="H171" s="14">
        <f t="shared" si="181"/>
        <v>0</v>
      </c>
      <c r="I171" s="14">
        <f t="shared" si="181"/>
        <v>0</v>
      </c>
      <c r="J171" s="14">
        <f t="shared" si="181"/>
        <v>0</v>
      </c>
      <c r="K171" s="14">
        <f t="shared" si="181"/>
        <v>0</v>
      </c>
      <c r="L171" s="14">
        <f t="shared" si="181"/>
        <v>0</v>
      </c>
      <c r="M171" s="14">
        <f t="shared" si="181"/>
        <v>0</v>
      </c>
      <c r="N171" s="14">
        <f t="shared" si="181"/>
        <v>0</v>
      </c>
      <c r="O171" s="224"/>
      <c r="BD171" s="186" t="str">
        <f t="shared" si="170"/>
        <v xml:space="preserve">5PREF. AQUIRAZ </v>
      </c>
      <c r="BE171" s="186">
        <f t="shared" si="171"/>
        <v>5</v>
      </c>
      <c r="BF171" s="209" t="str">
        <f>'Base tabelas'!A150</f>
        <v xml:space="preserve">PREF. AQUIRAZ </v>
      </c>
      <c r="BG171" s="209" t="str">
        <f>'Base tabelas'!B150</f>
        <v>785635 - Tabela 5</v>
      </c>
      <c r="BH171" s="209">
        <f>'Base tabelas'!C150</f>
        <v>2.0899999999999998E-2</v>
      </c>
      <c r="BI171" s="209">
        <f>'Base tabelas'!D150</f>
        <v>96</v>
      </c>
      <c r="BJ171" s="209" t="str">
        <f>'Base tabelas'!E150</f>
        <v/>
      </c>
      <c r="BK171" s="209">
        <f>'Base tabelas'!F150</f>
        <v>2.48</v>
      </c>
      <c r="BL171" s="209">
        <f>'Base tabelas'!G150</f>
        <v>10</v>
      </c>
      <c r="BM171" s="209">
        <f>'Base tabelas'!H150</f>
        <v>50</v>
      </c>
      <c r="BN171" s="209" t="str">
        <f>'Base tabelas'!I150</f>
        <v xml:space="preserve">RFN - PREF AQUIRAZ PORTAB 5 DIG </v>
      </c>
      <c r="BO171" s="209" t="str">
        <f>'Base tabelas'!J150</f>
        <v>1,73</v>
      </c>
      <c r="BP171" s="209">
        <f>'Base tabelas'!K150</f>
        <v>1.7299999999999999E-2</v>
      </c>
      <c r="BQ171" s="277">
        <f t="shared" si="173"/>
        <v>2.5303170536751955E-2</v>
      </c>
      <c r="BR171" s="278">
        <f t="shared" si="174"/>
        <v>2.4799999999999999E-2</v>
      </c>
      <c r="BS171" s="279">
        <v>2.9999999999999997E-4</v>
      </c>
    </row>
    <row r="172" spans="3:71" hidden="1" x14ac:dyDescent="0.25">
      <c r="C172">
        <v>123</v>
      </c>
      <c r="D172" s="10">
        <f t="shared" ca="1" si="162"/>
        <v>48893</v>
      </c>
      <c r="E172" s="14">
        <f t="shared" si="181"/>
        <v>0</v>
      </c>
      <c r="F172" s="14">
        <f t="shared" si="181"/>
        <v>0</v>
      </c>
      <c r="G172" s="14">
        <f t="shared" si="181"/>
        <v>0</v>
      </c>
      <c r="H172" s="14">
        <f t="shared" si="181"/>
        <v>0</v>
      </c>
      <c r="I172" s="14">
        <f t="shared" si="181"/>
        <v>0</v>
      </c>
      <c r="J172" s="14">
        <f t="shared" si="181"/>
        <v>0</v>
      </c>
      <c r="K172" s="14">
        <f t="shared" si="181"/>
        <v>0</v>
      </c>
      <c r="L172" s="14">
        <f t="shared" si="181"/>
        <v>0</v>
      </c>
      <c r="M172" s="14">
        <f t="shared" si="181"/>
        <v>0</v>
      </c>
      <c r="N172" s="14">
        <f t="shared" si="181"/>
        <v>0</v>
      </c>
      <c r="O172" s="224"/>
      <c r="BD172" s="186" t="str">
        <f t="shared" si="170"/>
        <v xml:space="preserve">6PREF. AQUIRAZ </v>
      </c>
      <c r="BE172" s="186">
        <f t="shared" si="171"/>
        <v>6</v>
      </c>
      <c r="BF172" s="209" t="str">
        <f>'Base tabelas'!A151</f>
        <v xml:space="preserve">PREF. AQUIRAZ </v>
      </c>
      <c r="BG172" s="209" t="str">
        <f>'Base tabelas'!B151</f>
        <v>785636 - Tabela 6</v>
      </c>
      <c r="BH172" s="209">
        <f>'Base tabelas'!C151</f>
        <v>1.9900000000000001E-2</v>
      </c>
      <c r="BI172" s="209">
        <f>'Base tabelas'!D151</f>
        <v>96</v>
      </c>
      <c r="BJ172" s="209" t="str">
        <f>'Base tabelas'!E151</f>
        <v/>
      </c>
      <c r="BK172" s="209">
        <f>'Base tabelas'!F151</f>
        <v>2.48</v>
      </c>
      <c r="BL172" s="209">
        <f>'Base tabelas'!G151</f>
        <v>10</v>
      </c>
      <c r="BM172" s="209">
        <f>'Base tabelas'!H151</f>
        <v>50</v>
      </c>
      <c r="BN172" s="209" t="str">
        <f>'Base tabelas'!I151</f>
        <v xml:space="preserve">RFN - PREF AQUIRAZ PORTAB 6 DIG </v>
      </c>
      <c r="BO172" s="209" t="str">
        <f>'Base tabelas'!J151</f>
        <v>1,73</v>
      </c>
      <c r="BP172" s="209">
        <f>'Base tabelas'!K151</f>
        <v>1.7299999999999999E-2</v>
      </c>
      <c r="BQ172" s="277">
        <f t="shared" si="173"/>
        <v>2.4460732323653724E-2</v>
      </c>
      <c r="BR172" s="278">
        <f t="shared" si="174"/>
        <v>2.4799999999999999E-2</v>
      </c>
      <c r="BS172" s="279">
        <v>2.9999999999999997E-4</v>
      </c>
    </row>
    <row r="173" spans="3:71" hidden="1" x14ac:dyDescent="0.25">
      <c r="C173">
        <v>124</v>
      </c>
      <c r="D173" s="10">
        <f t="shared" ca="1" si="162"/>
        <v>48923</v>
      </c>
      <c r="E173" s="14">
        <f t="shared" si="181"/>
        <v>0</v>
      </c>
      <c r="F173" s="14">
        <f t="shared" si="181"/>
        <v>0</v>
      </c>
      <c r="G173" s="14">
        <f t="shared" si="181"/>
        <v>0</v>
      </c>
      <c r="H173" s="14">
        <f t="shared" si="181"/>
        <v>0</v>
      </c>
      <c r="I173" s="14">
        <f t="shared" si="181"/>
        <v>0</v>
      </c>
      <c r="J173" s="14">
        <f t="shared" si="181"/>
        <v>0</v>
      </c>
      <c r="K173" s="14">
        <f t="shared" si="181"/>
        <v>0</v>
      </c>
      <c r="L173" s="14">
        <f t="shared" si="181"/>
        <v>0</v>
      </c>
      <c r="M173" s="14">
        <f t="shared" si="181"/>
        <v>0</v>
      </c>
      <c r="N173" s="14">
        <f t="shared" si="181"/>
        <v>0</v>
      </c>
      <c r="O173" s="224"/>
      <c r="BD173" s="186" t="str">
        <f t="shared" si="170"/>
        <v>1PREF. ARACRUZ</v>
      </c>
      <c r="BE173" s="186">
        <f t="shared" si="171"/>
        <v>1</v>
      </c>
      <c r="BF173" s="209" t="str">
        <f>'Base tabelas'!A152</f>
        <v>PREF. ARACRUZ</v>
      </c>
      <c r="BG173" s="209" t="str">
        <f>'Base tabelas'!B152</f>
        <v>350013 - Tabela 1</v>
      </c>
      <c r="BH173" s="209">
        <f>'Base tabelas'!C152</f>
        <v>2.23E-2</v>
      </c>
      <c r="BI173" s="209">
        <f>'Base tabelas'!D152</f>
        <v>120</v>
      </c>
      <c r="BJ173" s="209" t="str">
        <f>'Base tabelas'!E152</f>
        <v/>
      </c>
      <c r="BK173" s="209">
        <f>'Base tabelas'!F152</f>
        <v>0</v>
      </c>
      <c r="BL173" s="209">
        <f>'Base tabelas'!G152</f>
        <v>25</v>
      </c>
      <c r="BM173" s="209">
        <f>'Base tabelas'!H152</f>
        <v>67</v>
      </c>
      <c r="BN173" s="209" t="str">
        <f>'Base tabelas'!I152</f>
        <v>RFN - PREF. ARACRUZ DIG 1 PORTAB</v>
      </c>
      <c r="BO173" s="209">
        <f>'Base tabelas'!J152</f>
        <v>0</v>
      </c>
      <c r="BP173" s="209">
        <f>'Base tabelas'!K152</f>
        <v>0</v>
      </c>
      <c r="BQ173" s="277">
        <f t="shared" si="173"/>
        <v>2.5407435609827833E-2</v>
      </c>
      <c r="BR173" s="278">
        <f t="shared" si="174"/>
        <v>0</v>
      </c>
      <c r="BS173" s="279">
        <v>2.9999999999999997E-4</v>
      </c>
    </row>
    <row r="174" spans="3:71" hidden="1" x14ac:dyDescent="0.25">
      <c r="C174">
        <v>125</v>
      </c>
      <c r="D174" s="10">
        <f t="shared" ca="1" si="162"/>
        <v>48954</v>
      </c>
      <c r="E174" s="14">
        <f t="shared" si="181"/>
        <v>0</v>
      </c>
      <c r="F174" s="14">
        <f t="shared" si="181"/>
        <v>0</v>
      </c>
      <c r="G174" s="14">
        <f t="shared" si="181"/>
        <v>0</v>
      </c>
      <c r="H174" s="14">
        <f t="shared" si="181"/>
        <v>0</v>
      </c>
      <c r="I174" s="14">
        <f t="shared" si="181"/>
        <v>0</v>
      </c>
      <c r="J174" s="14">
        <f t="shared" si="181"/>
        <v>0</v>
      </c>
      <c r="K174" s="14">
        <f t="shared" si="181"/>
        <v>0</v>
      </c>
      <c r="L174" s="14">
        <f t="shared" si="181"/>
        <v>0</v>
      </c>
      <c r="M174" s="14">
        <f t="shared" si="181"/>
        <v>0</v>
      </c>
      <c r="N174" s="14">
        <f t="shared" si="181"/>
        <v>0</v>
      </c>
      <c r="O174" s="224"/>
      <c r="BD174" s="186" t="str">
        <f t="shared" si="170"/>
        <v>1PREF. BH</v>
      </c>
      <c r="BE174" s="186">
        <f t="shared" si="171"/>
        <v>1</v>
      </c>
      <c r="BF174" s="209" t="str">
        <f>'Base tabelas'!A153</f>
        <v>PREF. BH</v>
      </c>
      <c r="BG174" s="209" t="str">
        <f>'Base tabelas'!B153</f>
        <v>795061 - Tabela 1</v>
      </c>
      <c r="BH174" s="209">
        <f>'Base tabelas'!C153</f>
        <v>2.1499999999999998E-2</v>
      </c>
      <c r="BI174" s="209">
        <f>'Base tabelas'!D153</f>
        <v>120</v>
      </c>
      <c r="BJ174" s="209" t="str">
        <f>'Base tabelas'!E153</f>
        <v/>
      </c>
      <c r="BK174" s="209">
        <f>'Base tabelas'!F153</f>
        <v>2.4</v>
      </c>
      <c r="BL174" s="209">
        <f>'Base tabelas'!G153</f>
        <v>25</v>
      </c>
      <c r="BM174" s="209">
        <f>'Base tabelas'!H153</f>
        <v>67</v>
      </c>
      <c r="BN174" s="209" t="str">
        <f>'Base tabelas'!I153</f>
        <v>RFN - PREF. BH DIG 1 PORTAB</v>
      </c>
      <c r="BO174" s="209" t="str">
        <f>'Base tabelas'!J153</f>
        <v>1,75</v>
      </c>
      <c r="BP174" s="209">
        <f>'Base tabelas'!K153</f>
        <v>1.7500000000000002E-2</v>
      </c>
      <c r="BQ174" s="277">
        <f t="shared" si="173"/>
        <v>2.4657630212672439E-2</v>
      </c>
      <c r="BR174" s="278">
        <f t="shared" si="174"/>
        <v>2.4E-2</v>
      </c>
      <c r="BS174" s="279">
        <v>2.9999999999999997E-4</v>
      </c>
    </row>
    <row r="175" spans="3:71" hidden="1" x14ac:dyDescent="0.25">
      <c r="C175">
        <v>126</v>
      </c>
      <c r="D175" s="10">
        <f t="shared" ca="1" si="162"/>
        <v>48985</v>
      </c>
      <c r="E175" s="14">
        <f t="shared" si="181"/>
        <v>0</v>
      </c>
      <c r="F175" s="14">
        <f t="shared" si="181"/>
        <v>0</v>
      </c>
      <c r="G175" s="14">
        <f t="shared" si="181"/>
        <v>0</v>
      </c>
      <c r="H175" s="14">
        <f t="shared" si="181"/>
        <v>0</v>
      </c>
      <c r="I175" s="14">
        <f t="shared" si="181"/>
        <v>0</v>
      </c>
      <c r="J175" s="14">
        <f t="shared" si="181"/>
        <v>0</v>
      </c>
      <c r="K175" s="14">
        <f t="shared" si="181"/>
        <v>0</v>
      </c>
      <c r="L175" s="14">
        <f t="shared" si="181"/>
        <v>0</v>
      </c>
      <c r="M175" s="14">
        <f t="shared" si="181"/>
        <v>0</v>
      </c>
      <c r="N175" s="14">
        <f t="shared" si="181"/>
        <v>0</v>
      </c>
      <c r="O175" s="224"/>
      <c r="BD175" s="186" t="str">
        <f t="shared" si="170"/>
        <v>2PREF. BH</v>
      </c>
      <c r="BE175" s="186">
        <f t="shared" si="171"/>
        <v>2</v>
      </c>
      <c r="BF175" s="209" t="str">
        <f>'Base tabelas'!A154</f>
        <v>PREF. BH</v>
      </c>
      <c r="BG175" s="209" t="str">
        <f>'Base tabelas'!B154</f>
        <v>795067 - Tabela 2</v>
      </c>
      <c r="BH175" s="209">
        <f>'Base tabelas'!C154</f>
        <v>0.02</v>
      </c>
      <c r="BI175" s="209">
        <f>'Base tabelas'!D154</f>
        <v>120</v>
      </c>
      <c r="BJ175" s="209" t="str">
        <f>'Base tabelas'!E154</f>
        <v/>
      </c>
      <c r="BK175" s="209">
        <f>'Base tabelas'!F154</f>
        <v>2.4</v>
      </c>
      <c r="BL175" s="209">
        <f>'Base tabelas'!G154</f>
        <v>25</v>
      </c>
      <c r="BM175" s="209">
        <f>'Base tabelas'!H154</f>
        <v>64</v>
      </c>
      <c r="BN175" s="209" t="str">
        <f>'Base tabelas'!I154</f>
        <v>RFN - PREF. BH DIG 2 PORTAB</v>
      </c>
      <c r="BO175" s="209" t="str">
        <f>'Base tabelas'!J154</f>
        <v>1,75</v>
      </c>
      <c r="BP175" s="209">
        <f>'Base tabelas'!K154</f>
        <v>1.7500000000000002E-2</v>
      </c>
      <c r="BQ175" s="277">
        <f t="shared" si="173"/>
        <v>2.3228805012675054E-2</v>
      </c>
      <c r="BR175" s="278">
        <f t="shared" si="174"/>
        <v>2.4E-2</v>
      </c>
      <c r="BS175" s="279">
        <v>2.9999999999999997E-4</v>
      </c>
    </row>
    <row r="176" spans="3:71" hidden="1" x14ac:dyDescent="0.25">
      <c r="C176">
        <v>127</v>
      </c>
      <c r="D176" s="10">
        <f t="shared" ca="1" si="162"/>
        <v>49013</v>
      </c>
      <c r="E176" s="14">
        <f t="shared" si="181"/>
        <v>0</v>
      </c>
      <c r="F176" s="14">
        <f t="shared" si="181"/>
        <v>0</v>
      </c>
      <c r="G176" s="14">
        <f t="shared" si="181"/>
        <v>0</v>
      </c>
      <c r="H176" s="14">
        <f t="shared" si="181"/>
        <v>0</v>
      </c>
      <c r="I176" s="14">
        <f t="shared" si="181"/>
        <v>0</v>
      </c>
      <c r="J176" s="14">
        <f t="shared" si="181"/>
        <v>0</v>
      </c>
      <c r="K176" s="14">
        <f t="shared" si="181"/>
        <v>0</v>
      </c>
      <c r="L176" s="14">
        <f t="shared" si="181"/>
        <v>0</v>
      </c>
      <c r="M176" s="14">
        <f t="shared" si="181"/>
        <v>0</v>
      </c>
      <c r="N176" s="14">
        <f t="shared" si="181"/>
        <v>0</v>
      </c>
      <c r="O176" s="224"/>
      <c r="BD176" s="186" t="str">
        <f t="shared" si="170"/>
        <v>1PREF. M. SOBRAL</v>
      </c>
      <c r="BE176" s="186">
        <f t="shared" si="171"/>
        <v>1</v>
      </c>
      <c r="BF176" s="209" t="str">
        <f>'Base tabelas'!A155</f>
        <v>PREF. M. SOBRAL</v>
      </c>
      <c r="BG176" s="209" t="str">
        <f>'Base tabelas'!B155</f>
        <v>795076 - Tabela 6</v>
      </c>
      <c r="BH176" s="209">
        <f>'Base tabelas'!C155</f>
        <v>1.8100000000000002E-2</v>
      </c>
      <c r="BI176" s="209">
        <f>'Base tabelas'!D155</f>
        <v>120</v>
      </c>
      <c r="BJ176" s="209" t="str">
        <f>'Base tabelas'!E155</f>
        <v/>
      </c>
      <c r="BK176" s="209">
        <f>'Base tabelas'!F155</f>
        <v>2.31</v>
      </c>
      <c r="BL176" s="209">
        <f>'Base tabelas'!G155</f>
        <v>20</v>
      </c>
      <c r="BM176" s="209">
        <f>'Base tabelas'!H155</f>
        <v>54</v>
      </c>
      <c r="BN176" s="209" t="str">
        <f>'Base tabelas'!I155</f>
        <v>RFN - PREF SOBRAL 6 DIG PORTAB</v>
      </c>
      <c r="BO176" s="209" t="str">
        <f>'Base tabelas'!J155</f>
        <v>1,56</v>
      </c>
      <c r="BP176" s="209">
        <f>'Base tabelas'!K155</f>
        <v>1.5600000000000001E-2</v>
      </c>
      <c r="BQ176" s="277">
        <f t="shared" si="173"/>
        <v>2.1402185268610867E-2</v>
      </c>
      <c r="BR176" s="278">
        <f t="shared" si="174"/>
        <v>2.3099999999999999E-2</v>
      </c>
      <c r="BS176" s="279">
        <v>2.9999999999999997E-4</v>
      </c>
    </row>
    <row r="177" spans="3:71" hidden="1" x14ac:dyDescent="0.25">
      <c r="C177">
        <v>128</v>
      </c>
      <c r="D177" s="10">
        <f t="shared" ca="1" si="162"/>
        <v>49044</v>
      </c>
      <c r="E177" s="14">
        <f t="shared" si="181"/>
        <v>0</v>
      </c>
      <c r="F177" s="14">
        <f t="shared" si="181"/>
        <v>0</v>
      </c>
      <c r="G177" s="14">
        <f t="shared" si="181"/>
        <v>0</v>
      </c>
      <c r="H177" s="14">
        <f t="shared" si="181"/>
        <v>0</v>
      </c>
      <c r="I177" s="14">
        <f t="shared" si="181"/>
        <v>0</v>
      </c>
      <c r="J177" s="14">
        <f t="shared" si="181"/>
        <v>0</v>
      </c>
      <c r="K177" s="14">
        <f t="shared" si="181"/>
        <v>0</v>
      </c>
      <c r="L177" s="14">
        <f t="shared" si="181"/>
        <v>0</v>
      </c>
      <c r="M177" s="14">
        <f t="shared" si="181"/>
        <v>0</v>
      </c>
      <c r="N177" s="14">
        <f t="shared" si="181"/>
        <v>0</v>
      </c>
      <c r="O177" s="224"/>
      <c r="BD177" s="186" t="str">
        <f t="shared" si="170"/>
        <v>1SEPLAG</v>
      </c>
      <c r="BE177" s="186">
        <f t="shared" si="171"/>
        <v>1</v>
      </c>
      <c r="BF177" s="209" t="str">
        <f>'Base tabelas'!A156</f>
        <v>SEPLAG</v>
      </c>
      <c r="BG177" s="209" t="str">
        <f>'Base tabelas'!B156</f>
        <v>765601 - Tabela 1</v>
      </c>
      <c r="BH177" s="209">
        <f>'Base tabelas'!C156</f>
        <v>2.1499999999999998E-2</v>
      </c>
      <c r="BI177" s="209">
        <f>'Base tabelas'!D156</f>
        <v>120</v>
      </c>
      <c r="BJ177" s="209" t="str">
        <f>'Base tabelas'!E156</f>
        <v/>
      </c>
      <c r="BK177" s="209">
        <f>'Base tabelas'!F156</f>
        <v>2.4</v>
      </c>
      <c r="BL177" s="209">
        <f>'Base tabelas'!G156</f>
        <v>7</v>
      </c>
      <c r="BM177" s="209">
        <f>'Base tabelas'!H156</f>
        <v>44</v>
      </c>
      <c r="BN177" s="209" t="str">
        <f>'Base tabelas'!I156</f>
        <v>RFN - SEPLAG 1 DIG PORTABILIDADE</v>
      </c>
      <c r="BO177" s="209" t="str">
        <f>'Base tabelas'!J156</f>
        <v>1,34</v>
      </c>
      <c r="BP177" s="209">
        <f>'Base tabelas'!K156</f>
        <v>1.34E-2</v>
      </c>
      <c r="BQ177" s="277">
        <f t="shared" si="173"/>
        <v>2.4258759232831675E-2</v>
      </c>
      <c r="BR177" s="278">
        <f t="shared" si="174"/>
        <v>2.4E-2</v>
      </c>
      <c r="BS177" s="279">
        <v>2.9999999999999997E-4</v>
      </c>
    </row>
    <row r="178" spans="3:71" hidden="1" x14ac:dyDescent="0.25">
      <c r="C178">
        <v>129</v>
      </c>
      <c r="D178" s="10">
        <f t="shared" ca="1" si="162"/>
        <v>49074</v>
      </c>
      <c r="E178" s="14">
        <f t="shared" si="181"/>
        <v>0</v>
      </c>
      <c r="F178" s="14">
        <f t="shared" si="181"/>
        <v>0</v>
      </c>
      <c r="G178" s="14">
        <f t="shared" si="181"/>
        <v>0</v>
      </c>
      <c r="H178" s="14">
        <f t="shared" si="181"/>
        <v>0</v>
      </c>
      <c r="I178" s="14">
        <f t="shared" si="181"/>
        <v>0</v>
      </c>
      <c r="J178" s="14">
        <f t="shared" si="181"/>
        <v>0</v>
      </c>
      <c r="K178" s="14">
        <f t="shared" si="181"/>
        <v>0</v>
      </c>
      <c r="L178" s="14">
        <f t="shared" si="181"/>
        <v>0</v>
      </c>
      <c r="M178" s="14">
        <f t="shared" si="181"/>
        <v>0</v>
      </c>
      <c r="N178" s="14">
        <f t="shared" si="181"/>
        <v>0</v>
      </c>
      <c r="O178" s="224"/>
      <c r="BD178" s="186" t="str">
        <f t="shared" si="170"/>
        <v>2SEPLAG</v>
      </c>
      <c r="BE178" s="186">
        <f t="shared" si="171"/>
        <v>2</v>
      </c>
      <c r="BF178" s="209" t="str">
        <f>'Base tabelas'!A157</f>
        <v>SEPLAG</v>
      </c>
      <c r="BG178" s="209" t="str">
        <f>'Base tabelas'!B157</f>
        <v>765602 - Tabela 2</v>
      </c>
      <c r="BH178" s="209">
        <f>'Base tabelas'!C157</f>
        <v>2.0499999999999997E-2</v>
      </c>
      <c r="BI178" s="209">
        <f>'Base tabelas'!D157</f>
        <v>120</v>
      </c>
      <c r="BJ178" s="209" t="str">
        <f>'Base tabelas'!E157</f>
        <v/>
      </c>
      <c r="BK178" s="209">
        <f>'Base tabelas'!F157</f>
        <v>2.4</v>
      </c>
      <c r="BL178" s="209">
        <f>'Base tabelas'!G157</f>
        <v>7</v>
      </c>
      <c r="BM178" s="209">
        <f>'Base tabelas'!H157</f>
        <v>44</v>
      </c>
      <c r="BN178" s="209" t="str">
        <f>'Base tabelas'!I157</f>
        <v>RFN - SEPLAG 2 DIG PORTABILIDADE</v>
      </c>
      <c r="BO178" s="209" t="str">
        <f>'Base tabelas'!J157</f>
        <v>1,34</v>
      </c>
      <c r="BP178" s="209">
        <f>'Base tabelas'!K157</f>
        <v>1.34E-2</v>
      </c>
      <c r="BQ178" s="277">
        <f t="shared" si="173"/>
        <v>2.3365977912608027E-2</v>
      </c>
      <c r="BR178" s="278">
        <f t="shared" si="174"/>
        <v>2.4E-2</v>
      </c>
      <c r="BS178" s="279">
        <v>2.9999999999999997E-4</v>
      </c>
    </row>
    <row r="179" spans="3:71" hidden="1" x14ac:dyDescent="0.25">
      <c r="C179">
        <v>130</v>
      </c>
      <c r="D179" s="10">
        <f t="shared" ca="1" si="162"/>
        <v>49105</v>
      </c>
      <c r="E179" s="14">
        <f t="shared" si="181"/>
        <v>0</v>
      </c>
      <c r="F179" s="14">
        <f t="shared" si="181"/>
        <v>0</v>
      </c>
      <c r="G179" s="14">
        <f t="shared" si="181"/>
        <v>0</v>
      </c>
      <c r="H179" s="14">
        <f t="shared" si="181"/>
        <v>0</v>
      </c>
      <c r="I179" s="14">
        <f t="shared" si="181"/>
        <v>0</v>
      </c>
      <c r="J179" s="14">
        <f t="shared" si="181"/>
        <v>0</v>
      </c>
      <c r="K179" s="14">
        <f t="shared" si="181"/>
        <v>0</v>
      </c>
      <c r="L179" s="14">
        <f t="shared" si="181"/>
        <v>0</v>
      </c>
      <c r="M179" s="14">
        <f t="shared" si="181"/>
        <v>0</v>
      </c>
      <c r="N179" s="14">
        <f t="shared" si="181"/>
        <v>0</v>
      </c>
      <c r="O179" s="224"/>
      <c r="BD179" s="186" t="str">
        <f t="shared" si="170"/>
        <v>3SEPLAG</v>
      </c>
      <c r="BE179" s="186">
        <f t="shared" si="171"/>
        <v>3</v>
      </c>
      <c r="BF179" s="209" t="str">
        <f>'Base tabelas'!A158</f>
        <v>SEPLAG</v>
      </c>
      <c r="BG179" s="209" t="str">
        <f>'Base tabelas'!B158</f>
        <v>765603 - Tabela 3</v>
      </c>
      <c r="BH179" s="209">
        <f>'Base tabelas'!C158</f>
        <v>1.9400000000000001E-2</v>
      </c>
      <c r="BI179" s="209">
        <f>'Base tabelas'!D158</f>
        <v>120</v>
      </c>
      <c r="BJ179" s="209" t="str">
        <f>'Base tabelas'!E158</f>
        <v/>
      </c>
      <c r="BK179" s="209">
        <f>'Base tabelas'!F158</f>
        <v>2.4</v>
      </c>
      <c r="BL179" s="209">
        <f>'Base tabelas'!G158</f>
        <v>7</v>
      </c>
      <c r="BM179" s="209">
        <f>'Base tabelas'!H158</f>
        <v>43</v>
      </c>
      <c r="BN179" s="209" t="str">
        <f>'Base tabelas'!I158</f>
        <v>RFN - SEPLAG 3 DIG PORTABILIDADE</v>
      </c>
      <c r="BO179" s="209" t="str">
        <f>'Base tabelas'!J158</f>
        <v>1,34</v>
      </c>
      <c r="BP179" s="209">
        <f>'Base tabelas'!K158</f>
        <v>1.34E-2</v>
      </c>
      <c r="BQ179" s="277">
        <f t="shared" si="173"/>
        <v>2.2383797773615384E-2</v>
      </c>
      <c r="BR179" s="278">
        <f t="shared" si="174"/>
        <v>2.4E-2</v>
      </c>
      <c r="BS179" s="279">
        <v>2.9999999999999997E-4</v>
      </c>
    </row>
    <row r="180" spans="3:71" hidden="1" x14ac:dyDescent="0.25">
      <c r="C180">
        <v>131</v>
      </c>
      <c r="D180" s="10">
        <f t="shared" ref="D180:D193" ca="1" si="182">EDATE(D179,1)</f>
        <v>49135</v>
      </c>
      <c r="E180" s="14">
        <f t="shared" ref="E180:N193" si="183">IF($C180&lt;=E$17,E$18/(($D$48+1)^(($D180-$D$49)/30)),0)</f>
        <v>0</v>
      </c>
      <c r="F180" s="14">
        <f t="shared" si="183"/>
        <v>0</v>
      </c>
      <c r="G180" s="14">
        <f t="shared" si="183"/>
        <v>0</v>
      </c>
      <c r="H180" s="14">
        <f t="shared" si="183"/>
        <v>0</v>
      </c>
      <c r="I180" s="14">
        <f t="shared" si="183"/>
        <v>0</v>
      </c>
      <c r="J180" s="14">
        <f t="shared" si="183"/>
        <v>0</v>
      </c>
      <c r="K180" s="14">
        <f t="shared" si="183"/>
        <v>0</v>
      </c>
      <c r="L180" s="14">
        <f t="shared" si="183"/>
        <v>0</v>
      </c>
      <c r="M180" s="14">
        <f t="shared" si="183"/>
        <v>0</v>
      </c>
      <c r="N180" s="14">
        <f t="shared" si="183"/>
        <v>0</v>
      </c>
      <c r="O180" s="224"/>
      <c r="BD180" s="186" t="str">
        <f t="shared" si="170"/>
        <v>4SEPLAG</v>
      </c>
      <c r="BE180" s="186">
        <f t="shared" si="171"/>
        <v>4</v>
      </c>
      <c r="BF180" s="209" t="str">
        <f>'Base tabelas'!A159</f>
        <v>SEPLAG</v>
      </c>
      <c r="BG180" s="209" t="str">
        <f>'Base tabelas'!B159</f>
        <v>765604 - Tabela 4</v>
      </c>
      <c r="BH180" s="209">
        <f>'Base tabelas'!C159</f>
        <v>1.7899999999999999E-2</v>
      </c>
      <c r="BI180" s="209">
        <f>'Base tabelas'!D159</f>
        <v>120</v>
      </c>
      <c r="BJ180" s="209" t="str">
        <f>'Base tabelas'!E159</f>
        <v/>
      </c>
      <c r="BK180" s="209">
        <f>'Base tabelas'!F159</f>
        <v>2.4</v>
      </c>
      <c r="BL180" s="209">
        <f>'Base tabelas'!G159</f>
        <v>7</v>
      </c>
      <c r="BM180" s="209">
        <f>'Base tabelas'!H159</f>
        <v>44</v>
      </c>
      <c r="BN180" s="209" t="str">
        <f>'Base tabelas'!I159</f>
        <v>RFN - SEPLAG 4 DIG PORTABILIDADE</v>
      </c>
      <c r="BO180" s="209" t="str">
        <f>'Base tabelas'!J159</f>
        <v>1,34</v>
      </c>
      <c r="BP180" s="209">
        <f>'Base tabelas'!K159</f>
        <v>1.34E-2</v>
      </c>
      <c r="BQ180" s="277">
        <f t="shared" si="173"/>
        <v>2.1103769815978828E-2</v>
      </c>
      <c r="BR180" s="278">
        <f t="shared" si="174"/>
        <v>2.4E-2</v>
      </c>
      <c r="BS180" s="279">
        <v>2.9999999999999997E-4</v>
      </c>
    </row>
    <row r="181" spans="3:71" hidden="1" x14ac:dyDescent="0.25">
      <c r="C181">
        <v>132</v>
      </c>
      <c r="D181" s="10">
        <f t="shared" ca="1" si="182"/>
        <v>49166</v>
      </c>
      <c r="E181" s="14">
        <f t="shared" si="183"/>
        <v>0</v>
      </c>
      <c r="F181" s="14">
        <f t="shared" si="183"/>
        <v>0</v>
      </c>
      <c r="G181" s="14">
        <f t="shared" si="183"/>
        <v>0</v>
      </c>
      <c r="H181" s="14">
        <f t="shared" si="183"/>
        <v>0</v>
      </c>
      <c r="I181" s="14">
        <f t="shared" si="183"/>
        <v>0</v>
      </c>
      <c r="J181" s="14">
        <f t="shared" si="183"/>
        <v>0</v>
      </c>
      <c r="K181" s="14">
        <f t="shared" si="183"/>
        <v>0</v>
      </c>
      <c r="L181" s="14">
        <f t="shared" si="183"/>
        <v>0</v>
      </c>
      <c r="M181" s="14">
        <f t="shared" si="183"/>
        <v>0</v>
      </c>
      <c r="N181" s="14">
        <f t="shared" si="183"/>
        <v>0</v>
      </c>
      <c r="O181" s="224"/>
      <c r="BD181" s="186" t="str">
        <f t="shared" si="170"/>
        <v>1SIAPE SERV PORT</v>
      </c>
      <c r="BE181" s="186">
        <f t="shared" si="171"/>
        <v>1</v>
      </c>
      <c r="BF181" s="209" t="str">
        <f>'Base tabelas'!A160</f>
        <v>SIAPE SERV PORT</v>
      </c>
      <c r="BG181" s="209" t="str">
        <f>'Base tabelas'!B160</f>
        <v>795826 - Tabela 1</v>
      </c>
      <c r="BH181" s="209">
        <f>'Base tabelas'!C160</f>
        <v>2.0099999999999996E-2</v>
      </c>
      <c r="BI181" s="209">
        <f>'Base tabelas'!D160</f>
        <v>96</v>
      </c>
      <c r="BJ181" s="209" t="str">
        <f>'Base tabelas'!E160</f>
        <v/>
      </c>
      <c r="BK181" s="209">
        <f>'Base tabelas'!F160</f>
        <v>2.0499999999999998</v>
      </c>
      <c r="BL181" s="209">
        <f>'Base tabelas'!G160</f>
        <v>15</v>
      </c>
      <c r="BM181" s="209">
        <f>'Base tabelas'!H160</f>
        <v>51</v>
      </c>
      <c r="BN181" s="209" t="str">
        <f>'Base tabelas'!I160</f>
        <v>RFN - SIAPE FED DIG PORTAB 1 PLUS</v>
      </c>
      <c r="BO181" s="209" t="str">
        <f>'Base tabelas'!J160</f>
        <v>1,29</v>
      </c>
      <c r="BP181" s="209">
        <f>'Base tabelas'!K160</f>
        <v>1.29E-2</v>
      </c>
      <c r="BQ181" s="277">
        <f t="shared" si="173"/>
        <v>2.4644572035775369E-2</v>
      </c>
      <c r="BR181" s="278">
        <f t="shared" si="174"/>
        <v>2.0499999999999997E-2</v>
      </c>
      <c r="BS181" s="279">
        <v>2.9999999999999997E-4</v>
      </c>
    </row>
    <row r="182" spans="3:71" hidden="1" x14ac:dyDescent="0.25">
      <c r="C182">
        <v>133</v>
      </c>
      <c r="D182" s="10">
        <f t="shared" ca="1" si="182"/>
        <v>49197</v>
      </c>
      <c r="E182" s="14">
        <f t="shared" si="183"/>
        <v>0</v>
      </c>
      <c r="F182" s="14">
        <f t="shared" si="183"/>
        <v>0</v>
      </c>
      <c r="G182" s="14">
        <f t="shared" si="183"/>
        <v>0</v>
      </c>
      <c r="H182" s="14">
        <f t="shared" si="183"/>
        <v>0</v>
      </c>
      <c r="I182" s="14">
        <f t="shared" si="183"/>
        <v>0</v>
      </c>
      <c r="J182" s="14">
        <f t="shared" si="183"/>
        <v>0</v>
      </c>
      <c r="K182" s="14">
        <f t="shared" si="183"/>
        <v>0</v>
      </c>
      <c r="L182" s="14">
        <f t="shared" si="183"/>
        <v>0</v>
      </c>
      <c r="M182" s="14">
        <f t="shared" si="183"/>
        <v>0</v>
      </c>
      <c r="N182" s="14">
        <f t="shared" si="183"/>
        <v>0</v>
      </c>
      <c r="O182" s="224"/>
      <c r="BD182" s="186" t="str">
        <f t="shared" si="170"/>
        <v>2SIAPE SERV PORT</v>
      </c>
      <c r="BE182" s="186">
        <f t="shared" si="171"/>
        <v>2</v>
      </c>
      <c r="BF182" s="209" t="str">
        <f>'Base tabelas'!A161</f>
        <v>SIAPE SERV PORT</v>
      </c>
      <c r="BG182" s="209" t="str">
        <f>'Base tabelas'!B161</f>
        <v>795827 - Tabela 2</v>
      </c>
      <c r="BH182" s="209">
        <f>'Base tabelas'!C161</f>
        <v>1.9099999999999999E-2</v>
      </c>
      <c r="BI182" s="209">
        <f>'Base tabelas'!D161</f>
        <v>96</v>
      </c>
      <c r="BJ182" s="209" t="str">
        <f>'Base tabelas'!E161</f>
        <v/>
      </c>
      <c r="BK182" s="209">
        <f>'Base tabelas'!F161</f>
        <v>2.0499999999999998</v>
      </c>
      <c r="BL182" s="209">
        <f>'Base tabelas'!G161</f>
        <v>15</v>
      </c>
      <c r="BM182" s="209">
        <f>'Base tabelas'!H161</f>
        <v>51</v>
      </c>
      <c r="BN182" s="209" t="str">
        <f>'Base tabelas'!I161</f>
        <v>RFN - SIAPE FED DIG PORTAB 2 PLUS</v>
      </c>
      <c r="BO182" s="209" t="str">
        <f>'Base tabelas'!J161</f>
        <v>1,29</v>
      </c>
      <c r="BP182" s="209">
        <f>'Base tabelas'!K161</f>
        <v>1.29E-2</v>
      </c>
      <c r="BQ182" s="277">
        <f t="shared" si="173"/>
        <v>2.3810799887260203E-2</v>
      </c>
      <c r="BR182" s="278">
        <f t="shared" si="174"/>
        <v>2.0499999999999997E-2</v>
      </c>
      <c r="BS182" s="279">
        <v>2.9999999999999997E-4</v>
      </c>
    </row>
    <row r="183" spans="3:71" hidden="1" x14ac:dyDescent="0.25">
      <c r="C183">
        <v>134</v>
      </c>
      <c r="D183" s="10">
        <f t="shared" ca="1" si="182"/>
        <v>49227</v>
      </c>
      <c r="E183" s="14">
        <f t="shared" si="183"/>
        <v>0</v>
      </c>
      <c r="F183" s="14">
        <f t="shared" si="183"/>
        <v>0</v>
      </c>
      <c r="G183" s="14">
        <f t="shared" si="183"/>
        <v>0</v>
      </c>
      <c r="H183" s="14">
        <f t="shared" si="183"/>
        <v>0</v>
      </c>
      <c r="I183" s="14">
        <f t="shared" si="183"/>
        <v>0</v>
      </c>
      <c r="J183" s="14">
        <f t="shared" si="183"/>
        <v>0</v>
      </c>
      <c r="K183" s="14">
        <f t="shared" si="183"/>
        <v>0</v>
      </c>
      <c r="L183" s="14">
        <f t="shared" si="183"/>
        <v>0</v>
      </c>
      <c r="M183" s="14">
        <f t="shared" si="183"/>
        <v>0</v>
      </c>
      <c r="N183" s="14">
        <f t="shared" si="183"/>
        <v>0</v>
      </c>
      <c r="O183" s="224"/>
      <c r="BD183" s="186" t="str">
        <f t="shared" si="170"/>
        <v>3SIAPE SERV PORT</v>
      </c>
      <c r="BE183" s="186">
        <f t="shared" si="171"/>
        <v>3</v>
      </c>
      <c r="BF183" s="209" t="str">
        <f>'Base tabelas'!A162</f>
        <v>SIAPE SERV PORT</v>
      </c>
      <c r="BG183" s="209" t="str">
        <f>'Base tabelas'!B162</f>
        <v>795828 - Tabela 3</v>
      </c>
      <c r="BH183" s="209">
        <f>'Base tabelas'!C162</f>
        <v>1.8100000000000002E-2</v>
      </c>
      <c r="BI183" s="209">
        <f>'Base tabelas'!D162</f>
        <v>96</v>
      </c>
      <c r="BJ183" s="209" t="str">
        <f>'Base tabelas'!E162</f>
        <v/>
      </c>
      <c r="BK183" s="209">
        <f>'Base tabelas'!F162</f>
        <v>2.0499999999999998</v>
      </c>
      <c r="BL183" s="209">
        <f>'Base tabelas'!G162</f>
        <v>15</v>
      </c>
      <c r="BM183" s="209">
        <f>'Base tabelas'!H162</f>
        <v>51</v>
      </c>
      <c r="BN183" s="209" t="str">
        <f>'Base tabelas'!I162</f>
        <v>RFN - SIAPE FED DIG PORTAB 3 PLUS</v>
      </c>
      <c r="BO183" s="209" t="str">
        <f>'Base tabelas'!J162</f>
        <v>1,29</v>
      </c>
      <c r="BP183" s="209">
        <f>'Base tabelas'!K162</f>
        <v>1.29E-2</v>
      </c>
      <c r="BQ183" s="277">
        <f t="shared" si="173"/>
        <v>2.2989923818355646E-2</v>
      </c>
      <c r="BR183" s="278">
        <f t="shared" si="174"/>
        <v>2.0499999999999997E-2</v>
      </c>
      <c r="BS183" s="279">
        <v>2.9999999999999997E-4</v>
      </c>
    </row>
    <row r="184" spans="3:71" hidden="1" x14ac:dyDescent="0.25">
      <c r="C184">
        <v>135</v>
      </c>
      <c r="D184" s="10">
        <f t="shared" ca="1" si="182"/>
        <v>49258</v>
      </c>
      <c r="E184" s="14">
        <f t="shared" si="183"/>
        <v>0</v>
      </c>
      <c r="F184" s="14">
        <f t="shared" si="183"/>
        <v>0</v>
      </c>
      <c r="G184" s="14">
        <f t="shared" si="183"/>
        <v>0</v>
      </c>
      <c r="H184" s="14">
        <f t="shared" si="183"/>
        <v>0</v>
      </c>
      <c r="I184" s="14">
        <f t="shared" si="183"/>
        <v>0</v>
      </c>
      <c r="J184" s="14">
        <f t="shared" si="183"/>
        <v>0</v>
      </c>
      <c r="K184" s="14">
        <f t="shared" si="183"/>
        <v>0</v>
      </c>
      <c r="L184" s="14">
        <f t="shared" si="183"/>
        <v>0</v>
      </c>
      <c r="M184" s="14">
        <f t="shared" si="183"/>
        <v>0</v>
      </c>
      <c r="N184" s="14">
        <f t="shared" si="183"/>
        <v>0</v>
      </c>
      <c r="O184" s="224"/>
      <c r="BD184" s="186" t="str">
        <f t="shared" si="170"/>
        <v>1TJ BAHIA</v>
      </c>
      <c r="BE184" s="186">
        <f t="shared" si="171"/>
        <v>1</v>
      </c>
      <c r="BF184" s="209" t="str">
        <f>'Base tabelas'!A163</f>
        <v>TJ BAHIA</v>
      </c>
      <c r="BG184" s="209" t="str">
        <f>'Base tabelas'!B163</f>
        <v>715863 - Tabela 3</v>
      </c>
      <c r="BH184" s="209">
        <f>'Base tabelas'!C163</f>
        <v>0.02</v>
      </c>
      <c r="BI184" s="209">
        <f>'Base tabelas'!D163</f>
        <v>120</v>
      </c>
      <c r="BJ184" s="209" t="str">
        <f>'Base tabelas'!E163</f>
        <v/>
      </c>
      <c r="BK184" s="209">
        <f>'Base tabelas'!F163</f>
        <v>2.2000000000000002</v>
      </c>
      <c r="BL184" s="209">
        <f>'Base tabelas'!G163</f>
        <v>1</v>
      </c>
      <c r="BM184" s="209">
        <f>'Base tabelas'!H163</f>
        <v>41</v>
      </c>
      <c r="BN184" s="209" t="str">
        <f>'Base tabelas'!I163</f>
        <v>RFN - TJ - BAHIA 3 DIG PORTAB</v>
      </c>
      <c r="BO184" s="209" t="str">
        <f>'Base tabelas'!J163</f>
        <v>1,5</v>
      </c>
      <c r="BP184" s="209">
        <f>'Base tabelas'!K163</f>
        <v>1.4999999999999999E-2</v>
      </c>
      <c r="BQ184" s="277">
        <f t="shared" si="173"/>
        <v>2.2878808512286165E-2</v>
      </c>
      <c r="BR184" s="278">
        <f t="shared" si="174"/>
        <v>2.2000000000000002E-2</v>
      </c>
      <c r="BS184" s="279">
        <v>2.9999999999999997E-4</v>
      </c>
    </row>
    <row r="185" spans="3:71" hidden="1" x14ac:dyDescent="0.25">
      <c r="C185">
        <v>136</v>
      </c>
      <c r="D185" s="10">
        <f t="shared" ca="1" si="182"/>
        <v>49288</v>
      </c>
      <c r="E185" s="14">
        <f t="shared" si="183"/>
        <v>0</v>
      </c>
      <c r="F185" s="14">
        <f t="shared" si="183"/>
        <v>0</v>
      </c>
      <c r="G185" s="14">
        <f t="shared" si="183"/>
        <v>0</v>
      </c>
      <c r="H185" s="14">
        <f t="shared" si="183"/>
        <v>0</v>
      </c>
      <c r="I185" s="14">
        <f t="shared" si="183"/>
        <v>0</v>
      </c>
      <c r="J185" s="14">
        <f t="shared" si="183"/>
        <v>0</v>
      </c>
      <c r="K185" s="14">
        <f t="shared" si="183"/>
        <v>0</v>
      </c>
      <c r="L185" s="14">
        <f t="shared" si="183"/>
        <v>0</v>
      </c>
      <c r="M185" s="14">
        <f t="shared" si="183"/>
        <v>0</v>
      </c>
      <c r="N185" s="14">
        <f t="shared" si="183"/>
        <v>0</v>
      </c>
      <c r="O185" s="224"/>
      <c r="BD185" s="186" t="str">
        <f t="shared" si="170"/>
        <v>1TJ SAO PAULO</v>
      </c>
      <c r="BE185" s="186">
        <f t="shared" si="171"/>
        <v>1</v>
      </c>
      <c r="BF185" s="209" t="str">
        <f>'Base tabelas'!A164</f>
        <v>TJ SAO PAULO</v>
      </c>
      <c r="BG185" s="209" t="str">
        <f>'Base tabelas'!B164</f>
        <v>901063 - Tabela 1</v>
      </c>
      <c r="BH185" s="209">
        <f>'Base tabelas'!C164</f>
        <v>2.2200000000000001E-2</v>
      </c>
      <c r="BI185" s="209">
        <f>'Base tabelas'!D164</f>
        <v>96</v>
      </c>
      <c r="BJ185" s="209" t="str">
        <f>'Base tabelas'!E164</f>
        <v/>
      </c>
      <c r="BK185" s="209">
        <f>'Base tabelas'!F164</f>
        <v>2.2200000000000002</v>
      </c>
      <c r="BL185" s="209">
        <f>'Base tabelas'!G164</f>
        <v>10</v>
      </c>
      <c r="BM185" s="209">
        <f>'Base tabelas'!H164</f>
        <v>27</v>
      </c>
      <c r="BN185" s="209" t="str">
        <f>'Base tabelas'!I164</f>
        <v>RFN - TJ SP PORTAB 1 DIG SERVIDOR</v>
      </c>
      <c r="BO185" s="209" t="str">
        <f>'Base tabelas'!J164</f>
        <v>1,75</v>
      </c>
      <c r="BP185" s="209">
        <f>'Base tabelas'!K164</f>
        <v>1.7500000000000002E-2</v>
      </c>
      <c r="BQ185" s="277">
        <f t="shared" si="173"/>
        <v>2.5975486690588759E-2</v>
      </c>
      <c r="BR185" s="278">
        <f t="shared" si="174"/>
        <v>2.2200000000000001E-2</v>
      </c>
      <c r="BS185" s="279">
        <v>2.9999999999999997E-4</v>
      </c>
    </row>
    <row r="186" spans="3:71" hidden="1" x14ac:dyDescent="0.25">
      <c r="C186">
        <v>137</v>
      </c>
      <c r="D186" s="10">
        <f t="shared" ca="1" si="182"/>
        <v>49319</v>
      </c>
      <c r="E186" s="14">
        <f t="shared" si="183"/>
        <v>0</v>
      </c>
      <c r="F186" s="14">
        <f t="shared" si="183"/>
        <v>0</v>
      </c>
      <c r="G186" s="14">
        <f t="shared" si="183"/>
        <v>0</v>
      </c>
      <c r="H186" s="14">
        <f t="shared" si="183"/>
        <v>0</v>
      </c>
      <c r="I186" s="14">
        <f t="shared" si="183"/>
        <v>0</v>
      </c>
      <c r="J186" s="14">
        <f t="shared" si="183"/>
        <v>0</v>
      </c>
      <c r="K186" s="14">
        <f t="shared" si="183"/>
        <v>0</v>
      </c>
      <c r="L186" s="14">
        <f t="shared" si="183"/>
        <v>0</v>
      </c>
      <c r="M186" s="14">
        <f t="shared" si="183"/>
        <v>0</v>
      </c>
      <c r="N186" s="14">
        <f t="shared" si="183"/>
        <v>0</v>
      </c>
      <c r="O186" s="224"/>
      <c r="BD186" s="186" t="str">
        <f t="shared" si="170"/>
        <v>2TJ SAO PAULO</v>
      </c>
      <c r="BE186" s="186">
        <f t="shared" si="171"/>
        <v>2</v>
      </c>
      <c r="BF186" s="209" t="str">
        <f>'Base tabelas'!A165</f>
        <v>TJ SAO PAULO</v>
      </c>
      <c r="BG186" s="209" t="str">
        <f>'Base tabelas'!B165</f>
        <v>901059 - Tabela 2</v>
      </c>
      <c r="BH186" s="209">
        <f>'Base tabelas'!C165</f>
        <v>2.1000000000000001E-2</v>
      </c>
      <c r="BI186" s="209">
        <f>'Base tabelas'!D165</f>
        <v>96</v>
      </c>
      <c r="BJ186" s="209" t="str">
        <f>'Base tabelas'!E165</f>
        <v/>
      </c>
      <c r="BK186" s="209">
        <f>'Base tabelas'!F165</f>
        <v>2.2200000000000002</v>
      </c>
      <c r="BL186" s="209">
        <f>'Base tabelas'!G165</f>
        <v>10</v>
      </c>
      <c r="BM186" s="209">
        <f>'Base tabelas'!H165</f>
        <v>27</v>
      </c>
      <c r="BN186" s="209" t="str">
        <f>'Base tabelas'!I165</f>
        <v>RFN - TJ SP PORTAB 2 DIG SERVIDOR</v>
      </c>
      <c r="BO186" s="209" t="str">
        <f>'Base tabelas'!J165</f>
        <v>1,75</v>
      </c>
      <c r="BP186" s="209">
        <f>'Base tabelas'!K165</f>
        <v>1.7500000000000002E-2</v>
      </c>
      <c r="BQ186" s="277">
        <f t="shared" si="173"/>
        <v>2.4986779196804979E-2</v>
      </c>
      <c r="BR186" s="278">
        <f t="shared" si="174"/>
        <v>2.2200000000000001E-2</v>
      </c>
      <c r="BS186" s="279">
        <v>2.9999999999999997E-4</v>
      </c>
    </row>
    <row r="187" spans="3:71" hidden="1" x14ac:dyDescent="0.25">
      <c r="C187">
        <v>138</v>
      </c>
      <c r="D187" s="10">
        <f t="shared" ca="1" si="182"/>
        <v>49350</v>
      </c>
      <c r="E187" s="14">
        <f t="shared" si="183"/>
        <v>0</v>
      </c>
      <c r="F187" s="14">
        <f t="shared" si="183"/>
        <v>0</v>
      </c>
      <c r="G187" s="14">
        <f t="shared" si="183"/>
        <v>0</v>
      </c>
      <c r="H187" s="14">
        <f t="shared" si="183"/>
        <v>0</v>
      </c>
      <c r="I187" s="14">
        <f t="shared" si="183"/>
        <v>0</v>
      </c>
      <c r="J187" s="14">
        <f t="shared" si="183"/>
        <v>0</v>
      </c>
      <c r="K187" s="14">
        <f t="shared" si="183"/>
        <v>0</v>
      </c>
      <c r="L187" s="14">
        <f t="shared" si="183"/>
        <v>0</v>
      </c>
      <c r="M187" s="14">
        <f t="shared" si="183"/>
        <v>0</v>
      </c>
      <c r="N187" s="14">
        <f t="shared" si="183"/>
        <v>0</v>
      </c>
      <c r="O187" s="224"/>
      <c r="BD187" s="186" t="str">
        <f t="shared" si="170"/>
        <v>3TJ SAO PAULO</v>
      </c>
      <c r="BE187" s="186">
        <f t="shared" si="171"/>
        <v>3</v>
      </c>
      <c r="BF187" s="209" t="str">
        <f>'Base tabelas'!A166</f>
        <v>TJ SAO PAULO</v>
      </c>
      <c r="BG187" s="209" t="str">
        <f>'Base tabelas'!B166</f>
        <v>901064 - Tabela 3</v>
      </c>
      <c r="BH187" s="209">
        <f>'Base tabelas'!C166</f>
        <v>0.02</v>
      </c>
      <c r="BI187" s="209">
        <f>'Base tabelas'!D166</f>
        <v>96</v>
      </c>
      <c r="BJ187" s="209" t="str">
        <f>'Base tabelas'!E166</f>
        <v/>
      </c>
      <c r="BK187" s="209">
        <f>'Base tabelas'!F166</f>
        <v>2.2200000000000002</v>
      </c>
      <c r="BL187" s="209">
        <f>'Base tabelas'!G166</f>
        <v>10</v>
      </c>
      <c r="BM187" s="209">
        <f>'Base tabelas'!H166</f>
        <v>27</v>
      </c>
      <c r="BN187" s="209" t="str">
        <f>'Base tabelas'!I166</f>
        <v>RFN - TJ SP PORTAB 3 DIG SERVIDOR</v>
      </c>
      <c r="BO187" s="209" t="str">
        <f>'Base tabelas'!J166</f>
        <v>1,75</v>
      </c>
      <c r="BP187" s="209">
        <f>'Base tabelas'!K166</f>
        <v>1.7500000000000002E-2</v>
      </c>
      <c r="BQ187" s="277">
        <f t="shared" si="173"/>
        <v>2.4174599048583423E-2</v>
      </c>
      <c r="BR187" s="278">
        <f t="shared" si="174"/>
        <v>2.2200000000000001E-2</v>
      </c>
      <c r="BS187" s="279">
        <v>2.9999999999999997E-4</v>
      </c>
    </row>
    <row r="188" spans="3:71" hidden="1" x14ac:dyDescent="0.25">
      <c r="C188">
        <v>139</v>
      </c>
      <c r="D188" s="10">
        <f t="shared" ca="1" si="182"/>
        <v>49378</v>
      </c>
      <c r="E188" s="14">
        <f t="shared" si="183"/>
        <v>0</v>
      </c>
      <c r="F188" s="14">
        <f t="shared" si="183"/>
        <v>0</v>
      </c>
      <c r="G188" s="14">
        <f t="shared" si="183"/>
        <v>0</v>
      </c>
      <c r="H188" s="14">
        <f t="shared" si="183"/>
        <v>0</v>
      </c>
      <c r="I188" s="14">
        <f t="shared" si="183"/>
        <v>0</v>
      </c>
      <c r="J188" s="14">
        <f t="shared" si="183"/>
        <v>0</v>
      </c>
      <c r="K188" s="14">
        <f t="shared" si="183"/>
        <v>0</v>
      </c>
      <c r="L188" s="14">
        <f t="shared" si="183"/>
        <v>0</v>
      </c>
      <c r="M188" s="14">
        <f t="shared" si="183"/>
        <v>0</v>
      </c>
      <c r="N188" s="14">
        <f t="shared" si="183"/>
        <v>0</v>
      </c>
      <c r="O188" s="224"/>
      <c r="BD188" s="186" t="str">
        <f t="shared" si="170"/>
        <v>4TJ SAO PAULO</v>
      </c>
      <c r="BE188" s="186">
        <f t="shared" si="171"/>
        <v>4</v>
      </c>
      <c r="BF188" s="209" t="str">
        <f>'Base tabelas'!A167</f>
        <v>TJ SAO PAULO</v>
      </c>
      <c r="BG188" s="209" t="str">
        <f>'Base tabelas'!B167</f>
        <v>901068 - Tabela 3</v>
      </c>
      <c r="BH188" s="209">
        <f>'Base tabelas'!C167</f>
        <v>0.02</v>
      </c>
      <c r="BI188" s="209">
        <f>'Base tabelas'!D167</f>
        <v>96</v>
      </c>
      <c r="BJ188" s="209" t="str">
        <f>'Base tabelas'!E167</f>
        <v/>
      </c>
      <c r="BK188" s="209">
        <f>'Base tabelas'!F167</f>
        <v>2.2200000000000002</v>
      </c>
      <c r="BL188" s="209">
        <f>'Base tabelas'!G167</f>
        <v>10</v>
      </c>
      <c r="BM188" s="209">
        <f>'Base tabelas'!H167</f>
        <v>27</v>
      </c>
      <c r="BN188" s="209" t="str">
        <f>'Base tabelas'!I167</f>
        <v>RFN - TJ SP PORTAB 3 DIG MAGISTRADO</v>
      </c>
      <c r="BO188" s="209" t="str">
        <f>'Base tabelas'!J167</f>
        <v>1,75</v>
      </c>
      <c r="BP188" s="209">
        <f>'Base tabelas'!K167</f>
        <v>1.7500000000000002E-2</v>
      </c>
      <c r="BQ188" s="277">
        <f t="shared" si="173"/>
        <v>2.4174599048583423E-2</v>
      </c>
      <c r="BR188" s="278">
        <f t="shared" si="174"/>
        <v>2.2200000000000001E-2</v>
      </c>
      <c r="BS188" s="279">
        <v>2.9999999999999997E-4</v>
      </c>
    </row>
    <row r="189" spans="3:71" hidden="1" x14ac:dyDescent="0.25">
      <c r="C189">
        <v>140</v>
      </c>
      <c r="D189" s="10">
        <f t="shared" ca="1" si="182"/>
        <v>49409</v>
      </c>
      <c r="E189" s="14">
        <f t="shared" si="183"/>
        <v>0</v>
      </c>
      <c r="F189" s="14">
        <f t="shared" si="183"/>
        <v>0</v>
      </c>
      <c r="G189" s="14">
        <f t="shared" si="183"/>
        <v>0</v>
      </c>
      <c r="H189" s="14">
        <f t="shared" si="183"/>
        <v>0</v>
      </c>
      <c r="I189" s="14">
        <f t="shared" si="183"/>
        <v>0</v>
      </c>
      <c r="J189" s="14">
        <f t="shared" si="183"/>
        <v>0</v>
      </c>
      <c r="K189" s="14">
        <f t="shared" si="183"/>
        <v>0</v>
      </c>
      <c r="L189" s="14">
        <f t="shared" si="183"/>
        <v>0</v>
      </c>
      <c r="M189" s="14">
        <f t="shared" si="183"/>
        <v>0</v>
      </c>
      <c r="N189" s="14">
        <f t="shared" si="183"/>
        <v>0</v>
      </c>
      <c r="O189" s="224"/>
      <c r="BD189" s="186" t="str">
        <f t="shared" si="170"/>
        <v>1USP</v>
      </c>
      <c r="BE189" s="186">
        <f t="shared" si="171"/>
        <v>1</v>
      </c>
      <c r="BF189" s="209" t="str">
        <f>'Base tabelas'!A168</f>
        <v>USP</v>
      </c>
      <c r="BG189" s="209" t="str">
        <f>'Base tabelas'!B168</f>
        <v>725543 - Tabela 2</v>
      </c>
      <c r="BH189" s="209">
        <f>'Base tabelas'!C168</f>
        <v>2.1000000000000001E-2</v>
      </c>
      <c r="BI189" s="209">
        <f>'Base tabelas'!D168</f>
        <v>96</v>
      </c>
      <c r="BJ189" s="209" t="str">
        <f>'Base tabelas'!E168</f>
        <v/>
      </c>
      <c r="BK189" s="209">
        <f>'Base tabelas'!F168</f>
        <v>2.25</v>
      </c>
      <c r="BL189" s="209">
        <f>'Base tabelas'!G168</f>
        <v>15</v>
      </c>
      <c r="BM189" s="209">
        <f>'Base tabelas'!H168</f>
        <v>44</v>
      </c>
      <c r="BN189" s="209" t="str">
        <f>'Base tabelas'!I168</f>
        <v>RFN - USP PORTAB 2 DIG</v>
      </c>
      <c r="BO189" s="209" t="str">
        <f>'Base tabelas'!J168</f>
        <v>1,89</v>
      </c>
      <c r="BP189" s="209">
        <f>'Base tabelas'!K168</f>
        <v>1.89E-2</v>
      </c>
      <c r="BQ189" s="277">
        <f t="shared" si="173"/>
        <v>2.5282782363328059E-2</v>
      </c>
      <c r="BR189" s="278">
        <f t="shared" si="174"/>
        <v>2.2499999999999999E-2</v>
      </c>
      <c r="BS189" s="279">
        <v>2.9999999999999997E-4</v>
      </c>
    </row>
    <row r="190" spans="3:71" hidden="1" x14ac:dyDescent="0.25">
      <c r="C190">
        <v>141</v>
      </c>
      <c r="D190" s="10">
        <f t="shared" ca="1" si="182"/>
        <v>49439</v>
      </c>
      <c r="E190" s="14">
        <f t="shared" si="183"/>
        <v>0</v>
      </c>
      <c r="F190" s="14">
        <f t="shared" si="183"/>
        <v>0</v>
      </c>
      <c r="G190" s="14">
        <f t="shared" si="183"/>
        <v>0</v>
      </c>
      <c r="H190" s="14">
        <f t="shared" si="183"/>
        <v>0</v>
      </c>
      <c r="I190" s="14">
        <f t="shared" si="183"/>
        <v>0</v>
      </c>
      <c r="J190" s="14">
        <f t="shared" si="183"/>
        <v>0</v>
      </c>
      <c r="K190" s="14">
        <f t="shared" si="183"/>
        <v>0</v>
      </c>
      <c r="L190" s="14">
        <f t="shared" si="183"/>
        <v>0</v>
      </c>
      <c r="M190" s="14">
        <f t="shared" si="183"/>
        <v>0</v>
      </c>
      <c r="N190" s="14">
        <f t="shared" si="183"/>
        <v>0</v>
      </c>
      <c r="O190" s="224"/>
      <c r="BD190" s="186" t="str">
        <f t="shared" si="170"/>
        <v>10</v>
      </c>
      <c r="BE190" s="186">
        <f t="shared" si="171"/>
        <v>1</v>
      </c>
      <c r="BF190" s="209">
        <f>'Base tabelas'!A169</f>
        <v>0</v>
      </c>
      <c r="BG190" s="209">
        <f>'Base tabelas'!B169</f>
        <v>0</v>
      </c>
      <c r="BH190" s="209">
        <f>'Base tabelas'!C169</f>
        <v>0</v>
      </c>
      <c r="BI190" s="209">
        <f>'Base tabelas'!D169</f>
        <v>0</v>
      </c>
      <c r="BJ190" s="209">
        <f>'Base tabelas'!E169</f>
        <v>0</v>
      </c>
      <c r="BK190" s="209">
        <f>'Base tabelas'!F169</f>
        <v>0</v>
      </c>
      <c r="BL190" s="209">
        <f>'Base tabelas'!G169</f>
        <v>0</v>
      </c>
      <c r="BM190" s="209">
        <f>'Base tabelas'!H169</f>
        <v>0</v>
      </c>
      <c r="BN190" s="209">
        <f>'Base tabelas'!I169</f>
        <v>0</v>
      </c>
      <c r="BO190" s="209">
        <f>'Base tabelas'!J169</f>
        <v>0</v>
      </c>
      <c r="BP190" s="209">
        <f>'Base tabelas'!K169</f>
        <v>0</v>
      </c>
      <c r="BQ190" s="277" t="e">
        <f t="shared" si="173"/>
        <v>#NUM!</v>
      </c>
      <c r="BR190" s="278">
        <f t="shared" si="174"/>
        <v>0</v>
      </c>
      <c r="BS190" s="279">
        <v>2.9999999999999997E-4</v>
      </c>
    </row>
    <row r="191" spans="3:71" hidden="1" x14ac:dyDescent="0.25">
      <c r="C191">
        <v>142</v>
      </c>
      <c r="D191" s="10">
        <f t="shared" ca="1" si="182"/>
        <v>49470</v>
      </c>
      <c r="E191" s="14">
        <f t="shared" si="183"/>
        <v>0</v>
      </c>
      <c r="F191" s="14">
        <f t="shared" si="183"/>
        <v>0</v>
      </c>
      <c r="G191" s="14">
        <f t="shared" si="183"/>
        <v>0</v>
      </c>
      <c r="H191" s="14">
        <f t="shared" si="183"/>
        <v>0</v>
      </c>
      <c r="I191" s="14">
        <f t="shared" si="183"/>
        <v>0</v>
      </c>
      <c r="J191" s="14">
        <f t="shared" si="183"/>
        <v>0</v>
      </c>
      <c r="K191" s="14">
        <f t="shared" si="183"/>
        <v>0</v>
      </c>
      <c r="L191" s="14">
        <f t="shared" si="183"/>
        <v>0</v>
      </c>
      <c r="M191" s="14">
        <f t="shared" si="183"/>
        <v>0</v>
      </c>
      <c r="N191" s="14">
        <f t="shared" si="183"/>
        <v>0</v>
      </c>
      <c r="O191" s="224"/>
      <c r="BD191" s="186" t="str">
        <f t="shared" si="170"/>
        <v>20</v>
      </c>
      <c r="BE191" s="186">
        <f t="shared" si="171"/>
        <v>2</v>
      </c>
      <c r="BF191" s="209">
        <f>'Base tabelas'!A170</f>
        <v>0</v>
      </c>
      <c r="BG191" s="209">
        <f>'Base tabelas'!B170</f>
        <v>0</v>
      </c>
      <c r="BH191" s="209">
        <f>'Base tabelas'!C170</f>
        <v>0</v>
      </c>
      <c r="BI191" s="209">
        <f>'Base tabelas'!D170</f>
        <v>0</v>
      </c>
      <c r="BJ191" s="209">
        <f>'Base tabelas'!E170</f>
        <v>0</v>
      </c>
      <c r="BK191" s="209">
        <f>'Base tabelas'!F170</f>
        <v>0</v>
      </c>
      <c r="BL191" s="209">
        <f>'Base tabelas'!G170</f>
        <v>0</v>
      </c>
      <c r="BM191" s="209">
        <f>'Base tabelas'!H170</f>
        <v>0</v>
      </c>
      <c r="BN191" s="209">
        <f>'Base tabelas'!I170</f>
        <v>0</v>
      </c>
      <c r="BO191" s="209">
        <f>'Base tabelas'!J170</f>
        <v>0</v>
      </c>
      <c r="BP191" s="209">
        <f>'Base tabelas'!K170</f>
        <v>0</v>
      </c>
      <c r="BQ191" s="277" t="e">
        <f t="shared" si="173"/>
        <v>#NUM!</v>
      </c>
      <c r="BR191" s="278">
        <f t="shared" si="174"/>
        <v>0</v>
      </c>
      <c r="BS191" s="279">
        <v>2.9999999999999997E-4</v>
      </c>
    </row>
    <row r="192" spans="3:71" hidden="1" x14ac:dyDescent="0.25">
      <c r="C192">
        <v>143</v>
      </c>
      <c r="D192" s="10">
        <f t="shared" ca="1" si="182"/>
        <v>49500</v>
      </c>
      <c r="E192" s="14">
        <f t="shared" si="183"/>
        <v>0</v>
      </c>
      <c r="F192" s="14">
        <f t="shared" si="183"/>
        <v>0</v>
      </c>
      <c r="G192" s="14">
        <f t="shared" si="183"/>
        <v>0</v>
      </c>
      <c r="H192" s="14">
        <f t="shared" si="183"/>
        <v>0</v>
      </c>
      <c r="I192" s="14">
        <f t="shared" si="183"/>
        <v>0</v>
      </c>
      <c r="J192" s="14">
        <f t="shared" si="183"/>
        <v>0</v>
      </c>
      <c r="K192" s="14">
        <f t="shared" si="183"/>
        <v>0</v>
      </c>
      <c r="L192" s="14">
        <f t="shared" si="183"/>
        <v>0</v>
      </c>
      <c r="M192" s="14">
        <f t="shared" si="183"/>
        <v>0</v>
      </c>
      <c r="N192" s="14">
        <f t="shared" si="183"/>
        <v>0</v>
      </c>
      <c r="O192" s="224"/>
      <c r="BD192" s="186" t="str">
        <f t="shared" si="170"/>
        <v>30</v>
      </c>
      <c r="BE192" s="186">
        <f t="shared" si="171"/>
        <v>3</v>
      </c>
      <c r="BF192" s="209">
        <f>'Base tabelas'!A171</f>
        <v>0</v>
      </c>
      <c r="BG192" s="209">
        <f>'Base tabelas'!B171</f>
        <v>0</v>
      </c>
      <c r="BH192" s="209">
        <f>'Base tabelas'!C171</f>
        <v>0</v>
      </c>
      <c r="BI192" s="209">
        <f>'Base tabelas'!D171</f>
        <v>0</v>
      </c>
      <c r="BJ192" s="209">
        <f>'Base tabelas'!E171</f>
        <v>0</v>
      </c>
      <c r="BK192" s="209">
        <f>'Base tabelas'!F171</f>
        <v>0</v>
      </c>
      <c r="BL192" s="209">
        <f>'Base tabelas'!G171</f>
        <v>0</v>
      </c>
      <c r="BM192" s="209">
        <f>'Base tabelas'!H171</f>
        <v>0</v>
      </c>
      <c r="BN192" s="209">
        <f>'Base tabelas'!I171</f>
        <v>0</v>
      </c>
      <c r="BO192" s="209">
        <f>'Base tabelas'!J171</f>
        <v>0</v>
      </c>
      <c r="BP192" s="209">
        <f>'Base tabelas'!K171</f>
        <v>0</v>
      </c>
      <c r="BQ192" s="277" t="e">
        <f t="shared" si="173"/>
        <v>#NUM!</v>
      </c>
      <c r="BR192" s="278">
        <f t="shared" si="174"/>
        <v>0</v>
      </c>
      <c r="BS192" s="279">
        <v>2.9999999999999997E-4</v>
      </c>
    </row>
    <row r="193" spans="3:15" hidden="1" x14ac:dyDescent="0.25">
      <c r="C193">
        <v>144</v>
      </c>
      <c r="D193" s="10">
        <f t="shared" ca="1" si="182"/>
        <v>49531</v>
      </c>
      <c r="E193" s="14">
        <f t="shared" si="183"/>
        <v>0</v>
      </c>
      <c r="F193" s="14">
        <f t="shared" si="183"/>
        <v>0</v>
      </c>
      <c r="G193" s="14">
        <f t="shared" si="183"/>
        <v>0</v>
      </c>
      <c r="H193" s="14">
        <f t="shared" si="183"/>
        <v>0</v>
      </c>
      <c r="I193" s="14">
        <f t="shared" si="183"/>
        <v>0</v>
      </c>
      <c r="J193" s="14">
        <f t="shared" si="183"/>
        <v>0</v>
      </c>
      <c r="K193" s="14">
        <f t="shared" si="183"/>
        <v>0</v>
      </c>
      <c r="L193" s="14">
        <f t="shared" si="183"/>
        <v>0</v>
      </c>
      <c r="M193" s="14">
        <f t="shared" si="183"/>
        <v>0</v>
      </c>
      <c r="N193" s="14">
        <f t="shared" si="183"/>
        <v>0</v>
      </c>
      <c r="O193" s="224"/>
    </row>
    <row r="194" spans="3:15" hidden="1" x14ac:dyDescent="0.25">
      <c r="E194" s="15">
        <f ca="1">(SUM(E50:E193))</f>
        <v>2190.7849670774308</v>
      </c>
      <c r="F194" s="15">
        <f t="shared" ref="F194:N194" si="184">(SUM(F50:F193))</f>
        <v>0</v>
      </c>
      <c r="G194" s="15">
        <f t="shared" si="184"/>
        <v>0</v>
      </c>
      <c r="H194" s="15">
        <f t="shared" si="184"/>
        <v>0</v>
      </c>
      <c r="I194" s="15">
        <f t="shared" si="184"/>
        <v>0</v>
      </c>
      <c r="J194" s="15">
        <f t="shared" si="184"/>
        <v>0</v>
      </c>
      <c r="K194" s="15">
        <f t="shared" si="184"/>
        <v>0</v>
      </c>
      <c r="L194" s="15">
        <f t="shared" si="184"/>
        <v>0</v>
      </c>
      <c r="M194" s="15">
        <f t="shared" si="184"/>
        <v>0</v>
      </c>
      <c r="N194" s="15">
        <f t="shared" si="184"/>
        <v>0</v>
      </c>
      <c r="O194" s="228"/>
    </row>
    <row r="195" spans="3:15" hidden="1" x14ac:dyDescent="0.25"/>
  </sheetData>
  <sheetProtection algorithmName="SHA-512" hashValue="ZGxPStw2jr+vwnSgGNjULdTP5tHJgvBVicfAjUNHM3px4z5wKVElUEa0RkMedQdxdoX1smrn3nFV0ZJwxMYTOA==" saltValue="AN4+p1YClbYxc35PWYWlXw==" spinCount="100000" sheet="1" objects="1" scenarios="1"/>
  <protectedRanges>
    <protectedRange sqref="H17:N17" name="Intervalo1"/>
    <protectedRange sqref="E25" name="Intervalo1_1"/>
    <protectedRange sqref="E16:G18" name="Intervalo1_2"/>
  </protectedRanges>
  <autoFilter ref="BD22:BS100" xr:uid="{00000000-0001-0000-0200-000000000000}">
    <sortState xmlns:xlrd2="http://schemas.microsoft.com/office/spreadsheetml/2017/richdata2" ref="BD23:BS180">
      <sortCondition ref="BF22:BF100"/>
    </sortState>
  </autoFilter>
  <mergeCells count="31">
    <mergeCell ref="C16:D16"/>
    <mergeCell ref="C17:D17"/>
    <mergeCell ref="C25:D25"/>
    <mergeCell ref="C26:D26"/>
    <mergeCell ref="B16:B20"/>
    <mergeCell ref="B22:B23"/>
    <mergeCell ref="C23:D23"/>
    <mergeCell ref="C22:D22"/>
    <mergeCell ref="C24:D24"/>
    <mergeCell ref="C18:D18"/>
    <mergeCell ref="C20:D20"/>
    <mergeCell ref="C15:D15"/>
    <mergeCell ref="AG12:AH12"/>
    <mergeCell ref="AK12:AL12"/>
    <mergeCell ref="H6:I6"/>
    <mergeCell ref="AC9:AE9"/>
    <mergeCell ref="C13:D13"/>
    <mergeCell ref="AC13:AD13"/>
    <mergeCell ref="AG13:AH13"/>
    <mergeCell ref="AK13:AL13"/>
    <mergeCell ref="AC14:AD14"/>
    <mergeCell ref="AG14:AH14"/>
    <mergeCell ref="AK14:AL14"/>
    <mergeCell ref="AG9:AI9"/>
    <mergeCell ref="AK9:AM9"/>
    <mergeCell ref="AC12:AD12"/>
    <mergeCell ref="G25:J25"/>
    <mergeCell ref="E2:K2"/>
    <mergeCell ref="AC15:AD15"/>
    <mergeCell ref="AG15:AH15"/>
    <mergeCell ref="AK15:AL15"/>
  </mergeCells>
  <phoneticPr fontId="24" type="noConversion"/>
  <conditionalFormatting sqref="L28:L34">
    <cfRule type="cellIs" dxfId="34" priority="3" operator="equal">
      <formula>"Não Libera Troco"</formula>
    </cfRule>
    <cfRule type="cellIs" dxfId="33" priority="97" operator="equal">
      <formula>"vide obs  (*)"</formula>
    </cfRule>
  </conditionalFormatting>
  <conditionalFormatting sqref="L28:L34">
    <cfRule type="cellIs" dxfId="32" priority="95" operator="equal">
      <formula>"vide obs  (*)"</formula>
    </cfRule>
    <cfRule type="cellIs" dxfId="31" priority="96" operator="equal">
      <formula>"TAB disponivel "</formula>
    </cfRule>
  </conditionalFormatting>
  <conditionalFormatting sqref="L28:L34">
    <cfRule type="containsText" dxfId="30" priority="77" operator="containsText" text="TAB disponivel">
      <formula>NOT(ISERROR(SEARCH("TAB disponivel",L28)))</formula>
    </cfRule>
    <cfRule type="containsText" dxfId="29" priority="78" operator="containsText" text="Tabela Superior Taxa Ponderada">
      <formula>NOT(ISERROR(SEARCH("Tabela Superior Taxa Ponderada",L28)))</formula>
    </cfRule>
  </conditionalFormatting>
  <conditionalFormatting sqref="E15:N15">
    <cfRule type="containsText" dxfId="28" priority="47" operator="containsText" text="INVIÁVEL">
      <formula>NOT(ISERROR(SEARCH("INVIÁVEL",E15)))</formula>
    </cfRule>
    <cfRule type="containsText" dxfId="27" priority="48" operator="containsText" text="SEGUIR">
      <formula>NOT(ISERROR(SEARCH("SEGUIR",E15)))</formula>
    </cfRule>
  </conditionalFormatting>
  <conditionalFormatting sqref="K28:K34">
    <cfRule type="cellIs" dxfId="26" priority="12" operator="greaterThan">
      <formula>99.99</formula>
    </cfRule>
    <cfRule type="cellIs" dxfId="25" priority="13" operator="equal">
      <formula>$K$36</formula>
    </cfRule>
    <cfRule type="cellIs" dxfId="24" priority="14" operator="lessThan">
      <formula>I28*2%</formula>
    </cfRule>
    <cfRule type="cellIs" dxfId="23" priority="99" operator="greaterThan">
      <formula>I28*2%</formula>
    </cfRule>
    <cfRule type="expression" dxfId="22" priority="1">
      <formula>L28=$E$42</formula>
    </cfRule>
  </conditionalFormatting>
  <conditionalFormatting sqref="E19:N19">
    <cfRule type="cellIs" dxfId="21" priority="98" operator="lessThan">
      <formula>$F$24</formula>
    </cfRule>
  </conditionalFormatting>
  <conditionalFormatting sqref="M28:M34">
    <cfRule type="cellIs" dxfId="20" priority="5" operator="equal">
      <formula>$G$36</formula>
    </cfRule>
    <cfRule type="cellIs" dxfId="19" priority="7" operator="equal">
      <formula>"Sem Reassinatura"</formula>
    </cfRule>
    <cfRule type="cellIs" dxfId="18" priority="8" operator="equal">
      <formula>"Gera Reassinatura"</formula>
    </cfRule>
  </conditionalFormatting>
  <conditionalFormatting sqref="K28:K34">
    <cfRule type="expression" dxfId="17" priority="4">
      <formula>L28=$G$36</formula>
    </cfRule>
  </conditionalFormatting>
  <conditionalFormatting sqref="G25">
    <cfRule type="cellIs" dxfId="16" priority="2" operator="equal">
      <formula>"EXISTEM PORTABILIDADES ABAIXO DA TAXA PERMITIDA"</formula>
    </cfRule>
  </conditionalFormatting>
  <dataValidations count="1">
    <dataValidation type="list" allowBlank="1" showInputMessage="1" showErrorMessage="1" sqref="F6" xr:uid="{00000000-0002-0000-0200-000000000000}">
      <formula1>$BU$23:$BU$80</formula1>
    </dataValidation>
  </dataValidations>
  <pageMargins left="0.51181102362204722" right="0.51181102362204722" top="0.78740157480314965" bottom="0.78740157480314965" header="0.31496062992125984" footer="0.31496062992125984"/>
  <pageSetup paperSize="9" scale="75" orientation="landscape" r:id="rId2"/>
  <ignoredErrors>
    <ignoredError sqref="E15:G15 I15:N15 O24 N28:O29 N31:O34 O30" unlockedFormula="1"/>
    <ignoredError sqref="O17 O21 O19" formula="1" unlockedFormula="1"/>
  </ignoredErrors>
  <drawing r:id="rId3"/>
  <legacyDrawing r:id="rId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F6A940-60FD-4ECA-A3BC-86835FC3F945}">
  <sheetPr codeName="Planilha5"/>
  <dimension ref="A1:L168"/>
  <sheetViews>
    <sheetView topLeftCell="A148" workbookViewId="0">
      <selection activeCell="A22" sqref="A22"/>
    </sheetView>
  </sheetViews>
  <sheetFormatPr defaultRowHeight="15" x14ac:dyDescent="0.25"/>
  <cols>
    <col min="1" max="1" width="18.5703125" bestFit="1" customWidth="1"/>
    <col min="2" max="2" width="16" bestFit="1" customWidth="1"/>
    <col min="3" max="3" width="8" style="47" bestFit="1" customWidth="1"/>
    <col min="4" max="4" width="9.28515625" bestFit="1" customWidth="1"/>
    <col min="6" max="6" width="19.28515625" style="47" bestFit="1" customWidth="1"/>
    <col min="7" max="7" width="8.140625" bestFit="1" customWidth="1"/>
    <col min="8" max="8" width="18.5703125" bestFit="1" customWidth="1"/>
    <col min="9" max="9" width="42.5703125" bestFit="1" customWidth="1"/>
    <col min="10" max="10" width="11.42578125" bestFit="1" customWidth="1"/>
    <col min="11" max="11" width="13" bestFit="1" customWidth="1"/>
    <col min="12" max="12" width="22" style="47" bestFit="1" customWidth="1"/>
  </cols>
  <sheetData>
    <row r="1" spans="1:12" x14ac:dyDescent="0.25">
      <c r="A1" t="s">
        <v>38</v>
      </c>
      <c r="B1" t="s">
        <v>93</v>
      </c>
      <c r="C1" s="47" t="s">
        <v>124</v>
      </c>
      <c r="D1" t="s">
        <v>44</v>
      </c>
      <c r="E1" t="s">
        <v>45</v>
      </c>
      <c r="F1" s="47" t="s">
        <v>125</v>
      </c>
      <c r="G1" t="s">
        <v>50</v>
      </c>
      <c r="H1" t="s">
        <v>126</v>
      </c>
      <c r="I1" t="s">
        <v>249</v>
      </c>
      <c r="J1" t="s">
        <v>250</v>
      </c>
      <c r="K1" t="s">
        <v>467</v>
      </c>
      <c r="L1" s="47" t="s">
        <v>483</v>
      </c>
    </row>
    <row r="2" spans="1:12" x14ac:dyDescent="0.25">
      <c r="A2" t="s">
        <v>127</v>
      </c>
      <c r="B2" t="s">
        <v>485</v>
      </c>
      <c r="C2" s="47">
        <v>1.9E-2</v>
      </c>
      <c r="D2">
        <v>96</v>
      </c>
      <c r="E2" t="s">
        <v>128</v>
      </c>
      <c r="F2" s="15">
        <v>2.1</v>
      </c>
      <c r="G2">
        <v>10</v>
      </c>
      <c r="H2">
        <v>50</v>
      </c>
      <c r="I2" t="s">
        <v>253</v>
      </c>
      <c r="J2" t="s">
        <v>277</v>
      </c>
      <c r="K2">
        <f>Consulta1[[#This Row],[min_port]]/100</f>
        <v>1.3000000000000001E-2</v>
      </c>
      <c r="L2" s="47">
        <f>Consulta1[[#This Row],[TETO_COMERCIAL]]/100</f>
        <v>2.1000000000000001E-2</v>
      </c>
    </row>
    <row r="3" spans="1:12" x14ac:dyDescent="0.25">
      <c r="A3" t="s">
        <v>127</v>
      </c>
      <c r="B3" t="s">
        <v>486</v>
      </c>
      <c r="C3" s="47">
        <v>1.8000000000000002E-2</v>
      </c>
      <c r="D3">
        <v>96</v>
      </c>
      <c r="E3" t="s">
        <v>128</v>
      </c>
      <c r="F3" s="15">
        <v>2.1</v>
      </c>
      <c r="G3">
        <v>10</v>
      </c>
      <c r="H3">
        <v>50</v>
      </c>
      <c r="I3" t="s">
        <v>252</v>
      </c>
      <c r="J3" t="s">
        <v>277</v>
      </c>
      <c r="K3">
        <f>Consulta1[[#This Row],[min_port]]/100</f>
        <v>1.3000000000000001E-2</v>
      </c>
      <c r="L3" s="47">
        <f>Consulta1[[#This Row],[TETO_COMERCIAL]]/100</f>
        <v>2.1000000000000001E-2</v>
      </c>
    </row>
    <row r="4" spans="1:12" x14ac:dyDescent="0.25">
      <c r="A4" t="s">
        <v>127</v>
      </c>
      <c r="B4" t="s">
        <v>487</v>
      </c>
      <c r="C4" s="47">
        <v>1.7000000000000001E-2</v>
      </c>
      <c r="D4">
        <v>96</v>
      </c>
      <c r="E4" t="s">
        <v>128</v>
      </c>
      <c r="F4" s="15">
        <v>2.1</v>
      </c>
      <c r="G4">
        <v>10</v>
      </c>
      <c r="H4">
        <v>49</v>
      </c>
      <c r="I4" t="s">
        <v>251</v>
      </c>
      <c r="J4" t="s">
        <v>277</v>
      </c>
      <c r="K4">
        <f>Consulta1[[#This Row],[min_port]]/100</f>
        <v>1.3000000000000001E-2</v>
      </c>
      <c r="L4" s="47">
        <f>Consulta1[[#This Row],[TETO_COMERCIAL]]/100</f>
        <v>2.1000000000000001E-2</v>
      </c>
    </row>
    <row r="5" spans="1:12" x14ac:dyDescent="0.25">
      <c r="A5" t="s">
        <v>127</v>
      </c>
      <c r="B5" t="s">
        <v>488</v>
      </c>
      <c r="C5" s="47">
        <v>1.5600000000000001E-2</v>
      </c>
      <c r="D5">
        <v>96</v>
      </c>
      <c r="E5" t="s">
        <v>128</v>
      </c>
      <c r="F5" s="15">
        <v>2.1</v>
      </c>
      <c r="G5">
        <v>10</v>
      </c>
      <c r="H5">
        <v>50</v>
      </c>
      <c r="I5" t="s">
        <v>489</v>
      </c>
      <c r="J5" t="s">
        <v>277</v>
      </c>
      <c r="K5">
        <f>Consulta1[[#This Row],[min_port]]/100</f>
        <v>1.3000000000000001E-2</v>
      </c>
      <c r="L5" s="47">
        <f>Consulta1[[#This Row],[TETO_COMERCIAL]]/100</f>
        <v>2.1000000000000001E-2</v>
      </c>
    </row>
    <row r="6" spans="1:12" x14ac:dyDescent="0.25">
      <c r="A6" t="s">
        <v>129</v>
      </c>
      <c r="B6" t="s">
        <v>130</v>
      </c>
      <c r="C6" s="47">
        <v>2.5000000000000001E-2</v>
      </c>
      <c r="D6">
        <v>120</v>
      </c>
      <c r="E6" t="s">
        <v>128</v>
      </c>
      <c r="F6" s="15">
        <v>2.6</v>
      </c>
      <c r="G6">
        <v>10</v>
      </c>
      <c r="H6">
        <v>50</v>
      </c>
      <c r="I6" t="s">
        <v>256</v>
      </c>
      <c r="J6" t="s">
        <v>255</v>
      </c>
      <c r="K6">
        <f>Consulta1[[#This Row],[min_port]]/100</f>
        <v>1.8500000000000003E-2</v>
      </c>
      <c r="L6" s="47">
        <f>Consulta1[[#This Row],[TETO_COMERCIAL]]/100</f>
        <v>2.6000000000000002E-2</v>
      </c>
    </row>
    <row r="7" spans="1:12" x14ac:dyDescent="0.25">
      <c r="A7" t="s">
        <v>129</v>
      </c>
      <c r="B7" t="s">
        <v>131</v>
      </c>
      <c r="C7" s="47">
        <v>2.35E-2</v>
      </c>
      <c r="D7">
        <v>120</v>
      </c>
      <c r="E7" t="s">
        <v>128</v>
      </c>
      <c r="F7" s="15">
        <v>2.6</v>
      </c>
      <c r="G7">
        <v>10</v>
      </c>
      <c r="H7">
        <v>55</v>
      </c>
      <c r="I7" t="s">
        <v>254</v>
      </c>
      <c r="J7" t="s">
        <v>255</v>
      </c>
      <c r="K7">
        <f>Consulta1[[#This Row],[min_port]]/100</f>
        <v>1.8500000000000003E-2</v>
      </c>
      <c r="L7" s="47">
        <f>Consulta1[[#This Row],[TETO_COMERCIAL]]/100</f>
        <v>2.6000000000000002E-2</v>
      </c>
    </row>
    <row r="8" spans="1:12" x14ac:dyDescent="0.25">
      <c r="A8" t="s">
        <v>132</v>
      </c>
      <c r="B8" t="s">
        <v>470</v>
      </c>
      <c r="C8" s="47">
        <v>2.1499999999999998E-2</v>
      </c>
      <c r="D8">
        <v>120</v>
      </c>
      <c r="E8" t="s">
        <v>128</v>
      </c>
      <c r="F8" s="15">
        <v>2.4</v>
      </c>
      <c r="G8">
        <v>7</v>
      </c>
      <c r="H8">
        <v>44</v>
      </c>
      <c r="I8" t="s">
        <v>471</v>
      </c>
      <c r="J8" t="s">
        <v>258</v>
      </c>
      <c r="K8">
        <f>Consulta1[[#This Row],[min_port]]/100</f>
        <v>1.6399999999999998E-2</v>
      </c>
      <c r="L8" s="47">
        <f>Consulta1[[#This Row],[TETO_COMERCIAL]]/100</f>
        <v>2.4E-2</v>
      </c>
    </row>
    <row r="9" spans="1:12" x14ac:dyDescent="0.25">
      <c r="A9" t="s">
        <v>132</v>
      </c>
      <c r="B9" t="s">
        <v>133</v>
      </c>
      <c r="C9" s="47">
        <v>1.9400000000000001E-2</v>
      </c>
      <c r="D9">
        <v>120</v>
      </c>
      <c r="E9" t="s">
        <v>128</v>
      </c>
      <c r="F9" s="15">
        <v>2.4</v>
      </c>
      <c r="G9">
        <v>7</v>
      </c>
      <c r="H9">
        <v>41</v>
      </c>
      <c r="I9" t="s">
        <v>259</v>
      </c>
      <c r="J9" t="s">
        <v>258</v>
      </c>
      <c r="K9">
        <f>Consulta1[[#This Row],[min_port]]/100</f>
        <v>1.6399999999999998E-2</v>
      </c>
      <c r="L9" s="47">
        <f>Consulta1[[#This Row],[TETO_COMERCIAL]]/100</f>
        <v>2.4E-2</v>
      </c>
    </row>
    <row r="10" spans="1:12" x14ac:dyDescent="0.25">
      <c r="A10" t="s">
        <v>132</v>
      </c>
      <c r="B10" t="s">
        <v>134</v>
      </c>
      <c r="C10" s="47">
        <v>1.7899999999999999E-2</v>
      </c>
      <c r="D10">
        <v>120</v>
      </c>
      <c r="E10" t="s">
        <v>128</v>
      </c>
      <c r="F10" s="15">
        <v>2.4</v>
      </c>
      <c r="G10">
        <v>7</v>
      </c>
      <c r="H10">
        <v>51</v>
      </c>
      <c r="I10" t="s">
        <v>257</v>
      </c>
      <c r="J10" t="s">
        <v>258</v>
      </c>
      <c r="K10">
        <f>Consulta1[[#This Row],[min_port]]/100</f>
        <v>1.6399999999999998E-2</v>
      </c>
      <c r="L10" s="47">
        <f>Consulta1[[#This Row],[TETO_COMERCIAL]]/100</f>
        <v>2.4E-2</v>
      </c>
    </row>
    <row r="11" spans="1:12" x14ac:dyDescent="0.25">
      <c r="A11" t="s">
        <v>260</v>
      </c>
      <c r="B11" t="s">
        <v>261</v>
      </c>
      <c r="C11" s="47">
        <v>2.0400000000000001E-2</v>
      </c>
      <c r="D11">
        <v>96</v>
      </c>
      <c r="E11" t="s">
        <v>128</v>
      </c>
      <c r="F11" s="15">
        <v>2.4</v>
      </c>
      <c r="G11">
        <v>25</v>
      </c>
      <c r="H11">
        <v>45</v>
      </c>
      <c r="I11" t="s">
        <v>262</v>
      </c>
      <c r="J11" t="s">
        <v>263</v>
      </c>
      <c r="K11">
        <f>Consulta1[[#This Row],[min_port]]/100</f>
        <v>1.55E-2</v>
      </c>
      <c r="L11" s="47">
        <f>Consulta1[[#This Row],[TETO_COMERCIAL]]/100</f>
        <v>2.4E-2</v>
      </c>
    </row>
    <row r="12" spans="1:12" x14ac:dyDescent="0.25">
      <c r="A12" t="s">
        <v>135</v>
      </c>
      <c r="B12" t="s">
        <v>40</v>
      </c>
      <c r="C12" s="47">
        <v>1.95E-2</v>
      </c>
      <c r="D12">
        <v>72</v>
      </c>
      <c r="E12" t="s">
        <v>128</v>
      </c>
      <c r="F12" s="15">
        <v>2</v>
      </c>
      <c r="G12">
        <v>2</v>
      </c>
      <c r="H12">
        <v>46</v>
      </c>
      <c r="I12" t="s">
        <v>267</v>
      </c>
      <c r="J12" t="s">
        <v>277</v>
      </c>
      <c r="K12">
        <f>Consulta1[[#This Row],[min_port]]/100</f>
        <v>1.3000000000000001E-2</v>
      </c>
      <c r="L12" s="47">
        <f>Consulta1[[#This Row],[TETO_COMERCIAL]]/100</f>
        <v>0.02</v>
      </c>
    </row>
    <row r="13" spans="1:12" x14ac:dyDescent="0.25">
      <c r="A13" t="s">
        <v>135</v>
      </c>
      <c r="B13" t="s">
        <v>41</v>
      </c>
      <c r="C13" s="47">
        <v>1.8500000000000003E-2</v>
      </c>
      <c r="D13">
        <v>72</v>
      </c>
      <c r="E13" t="s">
        <v>128</v>
      </c>
      <c r="F13" s="15">
        <v>2</v>
      </c>
      <c r="G13">
        <v>2</v>
      </c>
      <c r="H13">
        <v>46</v>
      </c>
      <c r="I13" t="s">
        <v>266</v>
      </c>
      <c r="J13" t="s">
        <v>277</v>
      </c>
      <c r="K13">
        <f>Consulta1[[#This Row],[min_port]]/100</f>
        <v>1.3000000000000001E-2</v>
      </c>
      <c r="L13" s="47">
        <f>Consulta1[[#This Row],[TETO_COMERCIAL]]/100</f>
        <v>0.02</v>
      </c>
    </row>
    <row r="14" spans="1:12" x14ac:dyDescent="0.25">
      <c r="A14" t="s">
        <v>135</v>
      </c>
      <c r="B14" t="s">
        <v>89</v>
      </c>
      <c r="C14" s="47">
        <v>1.7500000000000002E-2</v>
      </c>
      <c r="D14">
        <v>72</v>
      </c>
      <c r="E14" t="s">
        <v>128</v>
      </c>
      <c r="F14" s="15">
        <v>2</v>
      </c>
      <c r="G14">
        <v>2</v>
      </c>
      <c r="H14">
        <v>46</v>
      </c>
      <c r="I14" t="s">
        <v>265</v>
      </c>
      <c r="J14" t="s">
        <v>277</v>
      </c>
      <c r="K14">
        <f>Consulta1[[#This Row],[min_port]]/100</f>
        <v>1.3000000000000001E-2</v>
      </c>
      <c r="L14" s="47">
        <f>Consulta1[[#This Row],[TETO_COMERCIAL]]/100</f>
        <v>0.02</v>
      </c>
    </row>
    <row r="15" spans="1:12" x14ac:dyDescent="0.25">
      <c r="A15" t="s">
        <v>135</v>
      </c>
      <c r="B15" t="s">
        <v>90</v>
      </c>
      <c r="C15" s="47">
        <v>1.6299999999999999E-2</v>
      </c>
      <c r="D15">
        <v>72</v>
      </c>
      <c r="E15" t="s">
        <v>128</v>
      </c>
      <c r="F15" s="15">
        <v>2</v>
      </c>
      <c r="G15">
        <v>2</v>
      </c>
      <c r="H15">
        <v>47</v>
      </c>
      <c r="I15" t="s">
        <v>264</v>
      </c>
      <c r="J15" t="s">
        <v>277</v>
      </c>
      <c r="K15">
        <f>Consulta1[[#This Row],[min_port]]/100</f>
        <v>1.3000000000000001E-2</v>
      </c>
      <c r="L15" s="47">
        <f>Consulta1[[#This Row],[TETO_COMERCIAL]]/100</f>
        <v>0.02</v>
      </c>
    </row>
    <row r="16" spans="1:12" x14ac:dyDescent="0.25">
      <c r="A16" t="s">
        <v>136</v>
      </c>
      <c r="B16" t="s">
        <v>137</v>
      </c>
      <c r="C16" s="47">
        <v>2.2499999999999999E-2</v>
      </c>
      <c r="D16">
        <v>120</v>
      </c>
      <c r="E16" t="s">
        <v>128</v>
      </c>
      <c r="F16" s="15">
        <v>2.4</v>
      </c>
      <c r="G16">
        <v>5</v>
      </c>
      <c r="H16">
        <v>47</v>
      </c>
      <c r="I16" t="s">
        <v>270</v>
      </c>
      <c r="J16" t="s">
        <v>269</v>
      </c>
      <c r="K16">
        <f>Consulta1[[#This Row],[min_port]]/100</f>
        <v>1.6500000000000001E-2</v>
      </c>
      <c r="L16" s="47">
        <f>Consulta1[[#This Row],[TETO_COMERCIAL]]/100</f>
        <v>2.4E-2</v>
      </c>
    </row>
    <row r="17" spans="1:12" x14ac:dyDescent="0.25">
      <c r="A17" t="s">
        <v>136</v>
      </c>
      <c r="B17" t="s">
        <v>138</v>
      </c>
      <c r="C17" s="47">
        <v>2.2000000000000002E-2</v>
      </c>
      <c r="D17">
        <v>120</v>
      </c>
      <c r="E17" t="s">
        <v>128</v>
      </c>
      <c r="F17" s="15">
        <v>2.4</v>
      </c>
      <c r="G17">
        <v>5</v>
      </c>
      <c r="H17">
        <v>46</v>
      </c>
      <c r="I17" t="s">
        <v>268</v>
      </c>
      <c r="J17" t="s">
        <v>269</v>
      </c>
      <c r="K17">
        <f>Consulta1[[#This Row],[min_port]]/100</f>
        <v>1.6500000000000001E-2</v>
      </c>
      <c r="L17" s="47">
        <f>Consulta1[[#This Row],[TETO_COMERCIAL]]/100</f>
        <v>2.4E-2</v>
      </c>
    </row>
    <row r="18" spans="1:12" x14ac:dyDescent="0.25">
      <c r="A18" t="s">
        <v>98</v>
      </c>
      <c r="B18" t="s">
        <v>110</v>
      </c>
      <c r="C18" s="47">
        <v>2.35E-2</v>
      </c>
      <c r="D18">
        <v>120</v>
      </c>
      <c r="E18" t="s">
        <v>128</v>
      </c>
      <c r="F18" s="15">
        <v>2.4</v>
      </c>
      <c r="G18">
        <v>20</v>
      </c>
      <c r="H18">
        <v>59</v>
      </c>
      <c r="I18" t="s">
        <v>275</v>
      </c>
      <c r="J18" t="s">
        <v>272</v>
      </c>
      <c r="K18">
        <f>Consulta1[[#This Row],[min_port]]/100</f>
        <v>1.4999999999999999E-2</v>
      </c>
      <c r="L18" s="47">
        <f>Consulta1[[#This Row],[TETO_COMERCIAL]]/100</f>
        <v>2.4E-2</v>
      </c>
    </row>
    <row r="19" spans="1:12" x14ac:dyDescent="0.25">
      <c r="A19" t="s">
        <v>98</v>
      </c>
      <c r="B19" t="s">
        <v>111</v>
      </c>
      <c r="C19" s="47">
        <v>2.2499999999999999E-2</v>
      </c>
      <c r="D19">
        <v>120</v>
      </c>
      <c r="E19" t="s">
        <v>128</v>
      </c>
      <c r="F19" s="15">
        <v>2.4</v>
      </c>
      <c r="G19">
        <v>20</v>
      </c>
      <c r="H19">
        <v>58</v>
      </c>
      <c r="I19" t="s">
        <v>274</v>
      </c>
      <c r="J19" t="s">
        <v>272</v>
      </c>
      <c r="K19">
        <f>Consulta1[[#This Row],[min_port]]/100</f>
        <v>1.4999999999999999E-2</v>
      </c>
      <c r="L19" s="47">
        <f>Consulta1[[#This Row],[TETO_COMERCIAL]]/100</f>
        <v>2.4E-2</v>
      </c>
    </row>
    <row r="20" spans="1:12" x14ac:dyDescent="0.25">
      <c r="A20" t="s">
        <v>98</v>
      </c>
      <c r="B20" t="s">
        <v>112</v>
      </c>
      <c r="C20" s="47">
        <v>2.1499999999999998E-2</v>
      </c>
      <c r="D20">
        <v>120</v>
      </c>
      <c r="E20" t="s">
        <v>128</v>
      </c>
      <c r="F20" s="15">
        <v>2.4</v>
      </c>
      <c r="G20">
        <v>20</v>
      </c>
      <c r="H20">
        <v>57</v>
      </c>
      <c r="I20" t="s">
        <v>273</v>
      </c>
      <c r="J20" t="s">
        <v>272</v>
      </c>
      <c r="K20">
        <f>Consulta1[[#This Row],[min_port]]/100</f>
        <v>1.4999999999999999E-2</v>
      </c>
      <c r="L20" s="47">
        <f>Consulta1[[#This Row],[TETO_COMERCIAL]]/100</f>
        <v>2.4E-2</v>
      </c>
    </row>
    <row r="21" spans="1:12" x14ac:dyDescent="0.25">
      <c r="A21" t="s">
        <v>98</v>
      </c>
      <c r="B21" t="s">
        <v>113</v>
      </c>
      <c r="C21" s="47">
        <v>2.0499999999999997E-2</v>
      </c>
      <c r="D21">
        <v>120</v>
      </c>
      <c r="E21" t="s">
        <v>128</v>
      </c>
      <c r="F21" s="15">
        <v>2.4</v>
      </c>
      <c r="G21">
        <v>20</v>
      </c>
      <c r="H21">
        <v>59</v>
      </c>
      <c r="I21" t="s">
        <v>271</v>
      </c>
      <c r="J21" t="s">
        <v>272</v>
      </c>
      <c r="K21">
        <f>Consulta1[[#This Row],[min_port]]/100</f>
        <v>1.4999999999999999E-2</v>
      </c>
      <c r="L21" s="47">
        <f>Consulta1[[#This Row],[TETO_COMERCIAL]]/100</f>
        <v>2.4E-2</v>
      </c>
    </row>
    <row r="22" spans="1:12" x14ac:dyDescent="0.25">
      <c r="A22" t="s">
        <v>94</v>
      </c>
      <c r="B22" t="s">
        <v>283</v>
      </c>
      <c r="C22" s="47">
        <v>2.2000000000000002E-2</v>
      </c>
      <c r="D22">
        <v>96</v>
      </c>
      <c r="E22" t="s">
        <v>128</v>
      </c>
      <c r="F22" s="15">
        <v>2.2000000000000002</v>
      </c>
      <c r="G22">
        <v>10</v>
      </c>
      <c r="H22">
        <v>52</v>
      </c>
      <c r="I22" t="s">
        <v>284</v>
      </c>
      <c r="J22" t="s">
        <v>277</v>
      </c>
      <c r="K22">
        <f>Consulta1[[#This Row],[min_port]]/100</f>
        <v>1.3000000000000001E-2</v>
      </c>
      <c r="L22" s="47">
        <f>Consulta1[[#This Row],[TETO_COMERCIAL]]/100</f>
        <v>2.2000000000000002E-2</v>
      </c>
    </row>
    <row r="23" spans="1:12" x14ac:dyDescent="0.25">
      <c r="A23" t="s">
        <v>94</v>
      </c>
      <c r="B23" t="s">
        <v>116</v>
      </c>
      <c r="C23" s="47">
        <v>2.1000000000000001E-2</v>
      </c>
      <c r="D23">
        <v>96</v>
      </c>
      <c r="E23" t="s">
        <v>128</v>
      </c>
      <c r="F23" s="15">
        <v>2.2000000000000002</v>
      </c>
      <c r="G23">
        <v>10</v>
      </c>
      <c r="H23">
        <v>52</v>
      </c>
      <c r="I23" t="s">
        <v>282</v>
      </c>
      <c r="J23" t="s">
        <v>277</v>
      </c>
      <c r="K23">
        <f>Consulta1[[#This Row],[min_port]]/100</f>
        <v>1.3000000000000001E-2</v>
      </c>
      <c r="L23" s="47">
        <f>Consulta1[[#This Row],[TETO_COMERCIAL]]/100</f>
        <v>2.2000000000000002E-2</v>
      </c>
    </row>
    <row r="24" spans="1:12" x14ac:dyDescent="0.25">
      <c r="A24" t="s">
        <v>94</v>
      </c>
      <c r="B24" t="s">
        <v>117</v>
      </c>
      <c r="C24" s="47">
        <v>0.02</v>
      </c>
      <c r="D24">
        <v>96</v>
      </c>
      <c r="E24" t="s">
        <v>128</v>
      </c>
      <c r="F24" s="15">
        <v>2.2000000000000002</v>
      </c>
      <c r="G24">
        <v>10</v>
      </c>
      <c r="H24">
        <v>52</v>
      </c>
      <c r="I24" t="s">
        <v>281</v>
      </c>
      <c r="J24" t="s">
        <v>277</v>
      </c>
      <c r="K24">
        <f>Consulta1[[#This Row],[min_port]]/100</f>
        <v>1.3000000000000001E-2</v>
      </c>
      <c r="L24" s="47">
        <f>Consulta1[[#This Row],[TETO_COMERCIAL]]/100</f>
        <v>2.2000000000000002E-2</v>
      </c>
    </row>
    <row r="25" spans="1:12" x14ac:dyDescent="0.25">
      <c r="A25" t="s">
        <v>94</v>
      </c>
      <c r="B25" t="s">
        <v>114</v>
      </c>
      <c r="C25" s="47">
        <v>1.95E-2</v>
      </c>
      <c r="D25">
        <v>96</v>
      </c>
      <c r="E25" t="s">
        <v>128</v>
      </c>
      <c r="F25" s="15">
        <v>2.2000000000000002</v>
      </c>
      <c r="G25">
        <v>10</v>
      </c>
      <c r="H25">
        <v>52</v>
      </c>
      <c r="I25" t="s">
        <v>280</v>
      </c>
      <c r="J25" t="s">
        <v>277</v>
      </c>
      <c r="K25">
        <f>Consulta1[[#This Row],[min_port]]/100</f>
        <v>1.3000000000000001E-2</v>
      </c>
      <c r="L25" s="47">
        <f>Consulta1[[#This Row],[TETO_COMERCIAL]]/100</f>
        <v>2.2000000000000002E-2</v>
      </c>
    </row>
    <row r="26" spans="1:12" x14ac:dyDescent="0.25">
      <c r="A26" t="s">
        <v>94</v>
      </c>
      <c r="B26" t="s">
        <v>278</v>
      </c>
      <c r="C26" s="47">
        <v>1.9E-2</v>
      </c>
      <c r="D26">
        <v>96</v>
      </c>
      <c r="E26" t="s">
        <v>128</v>
      </c>
      <c r="F26" s="15">
        <v>2.2000000000000002</v>
      </c>
      <c r="G26">
        <v>10</v>
      </c>
      <c r="H26">
        <v>52</v>
      </c>
      <c r="I26" t="s">
        <v>279</v>
      </c>
      <c r="J26" t="s">
        <v>277</v>
      </c>
      <c r="K26">
        <f>Consulta1[[#This Row],[min_port]]/100</f>
        <v>1.3000000000000001E-2</v>
      </c>
      <c r="L26" s="47">
        <f>Consulta1[[#This Row],[TETO_COMERCIAL]]/100</f>
        <v>2.2000000000000002E-2</v>
      </c>
    </row>
    <row r="27" spans="1:12" x14ac:dyDescent="0.25">
      <c r="A27" t="s">
        <v>94</v>
      </c>
      <c r="B27" t="s">
        <v>115</v>
      </c>
      <c r="C27" s="47">
        <v>1.8500000000000003E-2</v>
      </c>
      <c r="D27">
        <v>96</v>
      </c>
      <c r="E27" t="s">
        <v>128</v>
      </c>
      <c r="F27" s="15">
        <v>2.2000000000000002</v>
      </c>
      <c r="G27">
        <v>10</v>
      </c>
      <c r="H27">
        <v>52</v>
      </c>
      <c r="I27" t="s">
        <v>276</v>
      </c>
      <c r="J27" t="s">
        <v>277</v>
      </c>
      <c r="K27">
        <f>Consulta1[[#This Row],[min_port]]/100</f>
        <v>1.3000000000000001E-2</v>
      </c>
      <c r="L27" s="47">
        <f>Consulta1[[#This Row],[TETO_COMERCIAL]]/100</f>
        <v>2.2000000000000002E-2</v>
      </c>
    </row>
    <row r="28" spans="1:12" x14ac:dyDescent="0.25">
      <c r="A28" t="s">
        <v>139</v>
      </c>
      <c r="B28" t="s">
        <v>140</v>
      </c>
      <c r="C28" s="47">
        <v>1.8000000000000002E-2</v>
      </c>
      <c r="D28">
        <v>120</v>
      </c>
      <c r="E28" t="s">
        <v>128</v>
      </c>
      <c r="F28" s="15">
        <v>1.8</v>
      </c>
      <c r="G28">
        <v>20</v>
      </c>
      <c r="H28">
        <v>69</v>
      </c>
      <c r="I28" t="s">
        <v>287</v>
      </c>
      <c r="J28" t="s">
        <v>286</v>
      </c>
      <c r="K28">
        <f>Consulta1[[#This Row],[min_port]]/100</f>
        <v>1.11E-2</v>
      </c>
      <c r="L28" s="47">
        <f>Consulta1[[#This Row],[TETO_COMERCIAL]]/100</f>
        <v>1.8000000000000002E-2</v>
      </c>
    </row>
    <row r="29" spans="1:12" x14ac:dyDescent="0.25">
      <c r="A29" t="s">
        <v>139</v>
      </c>
      <c r="B29" t="s">
        <v>141</v>
      </c>
      <c r="C29" s="47">
        <v>1.66E-2</v>
      </c>
      <c r="D29">
        <v>120</v>
      </c>
      <c r="E29" t="s">
        <v>128</v>
      </c>
      <c r="F29" s="15">
        <v>1.8</v>
      </c>
      <c r="G29">
        <v>20</v>
      </c>
      <c r="H29">
        <v>69</v>
      </c>
      <c r="I29" t="s">
        <v>285</v>
      </c>
      <c r="J29" t="s">
        <v>286</v>
      </c>
      <c r="K29">
        <f>Consulta1[[#This Row],[min_port]]/100</f>
        <v>1.11E-2</v>
      </c>
      <c r="L29" s="47">
        <f>Consulta1[[#This Row],[TETO_COMERCIAL]]/100</f>
        <v>1.8000000000000002E-2</v>
      </c>
    </row>
    <row r="30" spans="1:12" x14ac:dyDescent="0.25">
      <c r="A30" t="s">
        <v>142</v>
      </c>
      <c r="B30" t="s">
        <v>288</v>
      </c>
      <c r="C30" s="47">
        <v>2.12E-2</v>
      </c>
      <c r="D30">
        <v>96</v>
      </c>
      <c r="E30" t="s">
        <v>128</v>
      </c>
      <c r="F30" s="15">
        <v>2.12</v>
      </c>
      <c r="G30">
        <v>10</v>
      </c>
      <c r="H30">
        <v>54</v>
      </c>
      <c r="I30" t="s">
        <v>289</v>
      </c>
      <c r="J30" t="s">
        <v>290</v>
      </c>
      <c r="K30">
        <f>Consulta1[[#This Row],[min_port]]/100</f>
        <v>1.8700000000000001E-2</v>
      </c>
      <c r="L30" s="47">
        <f>Consulta1[[#This Row],[TETO_COMERCIAL]]/100</f>
        <v>2.12E-2</v>
      </c>
    </row>
    <row r="31" spans="1:12" x14ac:dyDescent="0.25">
      <c r="A31" t="s">
        <v>96</v>
      </c>
      <c r="B31" t="s">
        <v>102</v>
      </c>
      <c r="C31" s="47">
        <v>2.2700000000000001E-2</v>
      </c>
      <c r="D31">
        <v>120</v>
      </c>
      <c r="E31" t="s">
        <v>128</v>
      </c>
      <c r="F31" s="15">
        <v>2.2999999999999998</v>
      </c>
      <c r="G31">
        <v>15</v>
      </c>
      <c r="H31">
        <v>59</v>
      </c>
      <c r="I31" t="s">
        <v>295</v>
      </c>
      <c r="J31" t="s">
        <v>292</v>
      </c>
      <c r="K31">
        <f>Consulta1[[#This Row],[min_port]]/100</f>
        <v>1.7000000000000001E-2</v>
      </c>
      <c r="L31" s="47">
        <f>Consulta1[[#This Row],[TETO_COMERCIAL]]/100</f>
        <v>2.3E-2</v>
      </c>
    </row>
    <row r="32" spans="1:12" x14ac:dyDescent="0.25">
      <c r="A32" t="s">
        <v>96</v>
      </c>
      <c r="B32" t="s">
        <v>103</v>
      </c>
      <c r="C32" s="47">
        <v>2.1700000000000001E-2</v>
      </c>
      <c r="D32">
        <v>120</v>
      </c>
      <c r="E32" t="s">
        <v>128</v>
      </c>
      <c r="F32" s="15">
        <v>2.2999999999999998</v>
      </c>
      <c r="G32">
        <v>15</v>
      </c>
      <c r="H32">
        <v>53</v>
      </c>
      <c r="I32" t="s">
        <v>294</v>
      </c>
      <c r="J32" t="s">
        <v>292</v>
      </c>
      <c r="K32">
        <f>Consulta1[[#This Row],[min_port]]/100</f>
        <v>1.7000000000000001E-2</v>
      </c>
      <c r="L32" s="47">
        <f>Consulta1[[#This Row],[TETO_COMERCIAL]]/100</f>
        <v>2.3E-2</v>
      </c>
    </row>
    <row r="33" spans="1:12" x14ac:dyDescent="0.25">
      <c r="A33" t="s">
        <v>96</v>
      </c>
      <c r="B33" t="s">
        <v>104</v>
      </c>
      <c r="C33" s="47">
        <v>2.07E-2</v>
      </c>
      <c r="D33">
        <v>120</v>
      </c>
      <c r="E33" t="s">
        <v>128</v>
      </c>
      <c r="F33" s="15">
        <v>2.2999999999999998</v>
      </c>
      <c r="G33">
        <v>15</v>
      </c>
      <c r="H33">
        <v>53</v>
      </c>
      <c r="I33" t="s">
        <v>293</v>
      </c>
      <c r="J33" t="s">
        <v>292</v>
      </c>
      <c r="K33">
        <f>Consulta1[[#This Row],[min_port]]/100</f>
        <v>1.7000000000000001E-2</v>
      </c>
      <c r="L33" s="47">
        <f>Consulta1[[#This Row],[TETO_COMERCIAL]]/100</f>
        <v>2.3E-2</v>
      </c>
    </row>
    <row r="34" spans="1:12" x14ac:dyDescent="0.25">
      <c r="A34" t="s">
        <v>96</v>
      </c>
      <c r="B34" t="s">
        <v>105</v>
      </c>
      <c r="C34" s="47">
        <v>1.9699999999999999E-2</v>
      </c>
      <c r="D34">
        <v>120</v>
      </c>
      <c r="E34" t="s">
        <v>128</v>
      </c>
      <c r="F34" s="15">
        <v>2.2999999999999998</v>
      </c>
      <c r="G34">
        <v>15</v>
      </c>
      <c r="H34">
        <v>53</v>
      </c>
      <c r="I34" t="s">
        <v>291</v>
      </c>
      <c r="J34" t="s">
        <v>292</v>
      </c>
      <c r="K34">
        <f>Consulta1[[#This Row],[min_port]]/100</f>
        <v>1.7000000000000001E-2</v>
      </c>
      <c r="L34" s="47">
        <f>Consulta1[[#This Row],[TETO_COMERCIAL]]/100</f>
        <v>2.3E-2</v>
      </c>
    </row>
    <row r="35" spans="1:12" x14ac:dyDescent="0.25">
      <c r="A35" t="s">
        <v>143</v>
      </c>
      <c r="B35" t="s">
        <v>144</v>
      </c>
      <c r="C35" s="47">
        <v>2.2000000000000002E-2</v>
      </c>
      <c r="D35">
        <v>108</v>
      </c>
      <c r="E35" t="s">
        <v>128</v>
      </c>
      <c r="F35" s="15">
        <v>2.2200000000000002</v>
      </c>
      <c r="G35">
        <v>30</v>
      </c>
      <c r="H35">
        <v>63</v>
      </c>
      <c r="I35" t="s">
        <v>297</v>
      </c>
      <c r="J35" t="s">
        <v>272</v>
      </c>
      <c r="K35">
        <f>Consulta1[[#This Row],[min_port]]/100</f>
        <v>1.4999999999999999E-2</v>
      </c>
      <c r="L35" s="47">
        <f>Consulta1[[#This Row],[TETO_COMERCIAL]]/100</f>
        <v>2.2200000000000001E-2</v>
      </c>
    </row>
    <row r="36" spans="1:12" x14ac:dyDescent="0.25">
      <c r="A36" t="s">
        <v>143</v>
      </c>
      <c r="B36" t="s">
        <v>145</v>
      </c>
      <c r="C36" s="47">
        <v>2.1000000000000001E-2</v>
      </c>
      <c r="D36">
        <v>120</v>
      </c>
      <c r="E36" t="s">
        <v>128</v>
      </c>
      <c r="F36" s="15">
        <v>2.2200000000000002</v>
      </c>
      <c r="G36">
        <v>30</v>
      </c>
      <c r="H36">
        <v>63</v>
      </c>
      <c r="I36" t="s">
        <v>296</v>
      </c>
      <c r="J36" t="s">
        <v>272</v>
      </c>
      <c r="K36">
        <f>Consulta1[[#This Row],[min_port]]/100</f>
        <v>1.4999999999999999E-2</v>
      </c>
      <c r="L36" s="47">
        <f>Consulta1[[#This Row],[TETO_COMERCIAL]]/100</f>
        <v>2.2200000000000001E-2</v>
      </c>
    </row>
    <row r="37" spans="1:12" x14ac:dyDescent="0.25">
      <c r="A37" t="s">
        <v>146</v>
      </c>
      <c r="B37" t="s">
        <v>147</v>
      </c>
      <c r="C37" s="47">
        <v>1.9E-2</v>
      </c>
      <c r="D37">
        <v>96</v>
      </c>
      <c r="E37" t="s">
        <v>128</v>
      </c>
      <c r="F37" s="15">
        <v>1.99</v>
      </c>
      <c r="G37">
        <v>10</v>
      </c>
      <c r="H37">
        <v>50</v>
      </c>
      <c r="I37" t="s">
        <v>298</v>
      </c>
      <c r="J37" t="s">
        <v>479</v>
      </c>
      <c r="K37">
        <f>Consulta1[[#This Row],[min_port]]/100</f>
        <v>1.3600000000000001E-2</v>
      </c>
      <c r="L37" s="47">
        <f>Consulta1[[#This Row],[TETO_COMERCIAL]]/100</f>
        <v>1.9900000000000001E-2</v>
      </c>
    </row>
    <row r="38" spans="1:12" x14ac:dyDescent="0.25">
      <c r="A38" t="s">
        <v>146</v>
      </c>
      <c r="B38" t="s">
        <v>490</v>
      </c>
      <c r="C38" s="47">
        <v>1.8500000000000003E-2</v>
      </c>
      <c r="D38">
        <v>96</v>
      </c>
      <c r="E38" t="s">
        <v>128</v>
      </c>
      <c r="F38" s="15">
        <v>1.99</v>
      </c>
      <c r="G38">
        <v>10</v>
      </c>
      <c r="H38">
        <v>45</v>
      </c>
      <c r="I38" t="s">
        <v>491</v>
      </c>
      <c r="J38" t="s">
        <v>479</v>
      </c>
      <c r="K38">
        <f>Consulta1[[#This Row],[min_port]]/100</f>
        <v>1.3600000000000001E-2</v>
      </c>
      <c r="L38" s="47">
        <f>Consulta1[[#This Row],[TETO_COMERCIAL]]/100</f>
        <v>1.9900000000000001E-2</v>
      </c>
    </row>
    <row r="39" spans="1:12" x14ac:dyDescent="0.25">
      <c r="A39" t="s">
        <v>146</v>
      </c>
      <c r="B39" t="s">
        <v>492</v>
      </c>
      <c r="C39" s="47">
        <v>1.8000000000000002E-2</v>
      </c>
      <c r="D39">
        <v>96</v>
      </c>
      <c r="E39" t="s">
        <v>128</v>
      </c>
      <c r="F39" s="15">
        <v>1.99</v>
      </c>
      <c r="G39">
        <v>10</v>
      </c>
      <c r="H39">
        <v>51</v>
      </c>
      <c r="I39" t="s">
        <v>493</v>
      </c>
      <c r="J39" t="s">
        <v>479</v>
      </c>
      <c r="K39">
        <f>Consulta1[[#This Row],[min_port]]/100</f>
        <v>1.3600000000000001E-2</v>
      </c>
      <c r="L39" s="47">
        <f>Consulta1[[#This Row],[TETO_COMERCIAL]]/100</f>
        <v>1.9900000000000001E-2</v>
      </c>
    </row>
    <row r="40" spans="1:12" x14ac:dyDescent="0.25">
      <c r="A40" t="s">
        <v>148</v>
      </c>
      <c r="B40" t="s">
        <v>149</v>
      </c>
      <c r="C40" s="47">
        <v>1.9799999999999998E-2</v>
      </c>
      <c r="D40">
        <v>120</v>
      </c>
      <c r="E40" t="s">
        <v>128</v>
      </c>
      <c r="F40" s="15">
        <v>1.98</v>
      </c>
      <c r="G40">
        <v>20</v>
      </c>
      <c r="H40">
        <v>69</v>
      </c>
      <c r="I40" t="s">
        <v>299</v>
      </c>
      <c r="J40" t="s">
        <v>292</v>
      </c>
      <c r="K40">
        <f>Consulta1[[#This Row],[min_port]]/100</f>
        <v>1.7000000000000001E-2</v>
      </c>
      <c r="L40" s="47">
        <f>Consulta1[[#This Row],[TETO_COMERCIAL]]/100</f>
        <v>1.9799999999999998E-2</v>
      </c>
    </row>
    <row r="41" spans="1:12" x14ac:dyDescent="0.25">
      <c r="A41" t="s">
        <v>101</v>
      </c>
      <c r="B41" t="s">
        <v>118</v>
      </c>
      <c r="C41" s="47">
        <v>1.6500000000000001E-2</v>
      </c>
      <c r="D41">
        <v>96</v>
      </c>
      <c r="E41" t="s">
        <v>128</v>
      </c>
      <c r="F41" s="15">
        <v>2.7</v>
      </c>
      <c r="G41">
        <v>10</v>
      </c>
      <c r="H41">
        <v>52</v>
      </c>
      <c r="I41" t="s">
        <v>301</v>
      </c>
      <c r="J41">
        <v>1.4</v>
      </c>
      <c r="K41">
        <f>Consulta1[[#This Row],[min_port]]/100</f>
        <v>1.3999999999999999E-2</v>
      </c>
      <c r="L41" s="47">
        <f>Consulta1[[#This Row],[TETO_COMERCIAL]]/100</f>
        <v>2.7000000000000003E-2</v>
      </c>
    </row>
    <row r="42" spans="1:12" x14ac:dyDescent="0.25">
      <c r="A42" t="s">
        <v>101</v>
      </c>
      <c r="B42" t="s">
        <v>150</v>
      </c>
      <c r="C42" s="47">
        <v>1.5600000000000001E-2</v>
      </c>
      <c r="D42">
        <v>96</v>
      </c>
      <c r="E42" t="s">
        <v>128</v>
      </c>
      <c r="F42" s="15">
        <v>2.7</v>
      </c>
      <c r="G42">
        <v>10</v>
      </c>
      <c r="H42">
        <v>52</v>
      </c>
      <c r="I42" t="s">
        <v>300</v>
      </c>
      <c r="J42">
        <v>1.4</v>
      </c>
      <c r="K42">
        <f>Consulta1[[#This Row],[min_port]]/100</f>
        <v>1.3999999999999999E-2</v>
      </c>
      <c r="L42" s="47">
        <f>Consulta1[[#This Row],[TETO_COMERCIAL]]/100</f>
        <v>2.7000000000000003E-2</v>
      </c>
    </row>
    <row r="43" spans="1:12" x14ac:dyDescent="0.25">
      <c r="A43" t="s">
        <v>151</v>
      </c>
      <c r="B43" t="s">
        <v>152</v>
      </c>
      <c r="C43" s="47">
        <v>2.1000000000000001E-2</v>
      </c>
      <c r="D43">
        <v>96</v>
      </c>
      <c r="E43" t="s">
        <v>128</v>
      </c>
      <c r="F43" s="15">
        <v>2.1</v>
      </c>
      <c r="G43">
        <v>10</v>
      </c>
      <c r="H43">
        <v>58</v>
      </c>
      <c r="I43" t="s">
        <v>304</v>
      </c>
      <c r="J43" t="s">
        <v>303</v>
      </c>
      <c r="K43">
        <f>Consulta1[[#This Row],[min_port]]/100</f>
        <v>1.7500000000000002E-2</v>
      </c>
      <c r="L43" s="47">
        <f>Consulta1[[#This Row],[TETO_COMERCIAL]]/100</f>
        <v>2.1000000000000001E-2</v>
      </c>
    </row>
    <row r="44" spans="1:12" x14ac:dyDescent="0.25">
      <c r="A44" t="s">
        <v>151</v>
      </c>
      <c r="B44" t="s">
        <v>153</v>
      </c>
      <c r="C44" s="47">
        <v>2.0499999999999997E-2</v>
      </c>
      <c r="D44">
        <v>96</v>
      </c>
      <c r="E44" t="s">
        <v>128</v>
      </c>
      <c r="F44" s="15">
        <v>2.1</v>
      </c>
      <c r="G44">
        <v>10</v>
      </c>
      <c r="H44">
        <v>55</v>
      </c>
      <c r="I44" t="s">
        <v>302</v>
      </c>
      <c r="J44" t="s">
        <v>303</v>
      </c>
      <c r="K44">
        <f>Consulta1[[#This Row],[min_port]]/100</f>
        <v>1.7500000000000002E-2</v>
      </c>
      <c r="L44" s="47">
        <f>Consulta1[[#This Row],[TETO_COMERCIAL]]/100</f>
        <v>2.1000000000000001E-2</v>
      </c>
    </row>
    <row r="45" spans="1:12" x14ac:dyDescent="0.25">
      <c r="A45" t="s">
        <v>100</v>
      </c>
      <c r="B45" t="s">
        <v>307</v>
      </c>
      <c r="C45" s="47">
        <v>1.9E-2</v>
      </c>
      <c r="D45">
        <v>120</v>
      </c>
      <c r="E45" t="s">
        <v>128</v>
      </c>
      <c r="F45" s="15">
        <v>2.1</v>
      </c>
      <c r="G45">
        <v>10</v>
      </c>
      <c r="H45">
        <v>53</v>
      </c>
      <c r="I45" t="s">
        <v>308</v>
      </c>
      <c r="J45" t="s">
        <v>277</v>
      </c>
      <c r="K45">
        <f>Consulta1[[#This Row],[min_port]]/100</f>
        <v>1.3000000000000001E-2</v>
      </c>
      <c r="L45" s="47">
        <f>Consulta1[[#This Row],[TETO_COMERCIAL]]/100</f>
        <v>2.1000000000000001E-2</v>
      </c>
    </row>
    <row r="46" spans="1:12" x14ac:dyDescent="0.25">
      <c r="A46" t="s">
        <v>100</v>
      </c>
      <c r="B46" t="s">
        <v>305</v>
      </c>
      <c r="C46" s="47">
        <v>1.8000000000000002E-2</v>
      </c>
      <c r="D46">
        <v>120</v>
      </c>
      <c r="E46" t="s">
        <v>128</v>
      </c>
      <c r="F46" s="15">
        <v>2.1</v>
      </c>
      <c r="G46">
        <v>10</v>
      </c>
      <c r="H46">
        <v>53</v>
      </c>
      <c r="I46" t="s">
        <v>306</v>
      </c>
      <c r="J46" t="s">
        <v>277</v>
      </c>
      <c r="K46">
        <f>Consulta1[[#This Row],[min_port]]/100</f>
        <v>1.3000000000000001E-2</v>
      </c>
      <c r="L46" s="47">
        <f>Consulta1[[#This Row],[TETO_COMERCIAL]]/100</f>
        <v>2.1000000000000001E-2</v>
      </c>
    </row>
    <row r="47" spans="1:12" x14ac:dyDescent="0.25">
      <c r="A47" t="s">
        <v>100</v>
      </c>
      <c r="B47" t="s">
        <v>472</v>
      </c>
      <c r="C47" s="47">
        <v>1.7500000000000002E-2</v>
      </c>
      <c r="D47">
        <v>120</v>
      </c>
      <c r="E47" t="s">
        <v>128</v>
      </c>
      <c r="F47" s="15">
        <v>2.1</v>
      </c>
      <c r="G47">
        <v>10</v>
      </c>
      <c r="H47">
        <v>53</v>
      </c>
      <c r="I47" t="s">
        <v>473</v>
      </c>
      <c r="J47" t="s">
        <v>277</v>
      </c>
      <c r="K47">
        <f>Consulta1[[#This Row],[min_port]]/100</f>
        <v>1.3000000000000001E-2</v>
      </c>
      <c r="L47" s="47">
        <f>Consulta1[[#This Row],[TETO_COMERCIAL]]/100</f>
        <v>2.1000000000000001E-2</v>
      </c>
    </row>
    <row r="48" spans="1:12" x14ac:dyDescent="0.25">
      <c r="A48" t="s">
        <v>100</v>
      </c>
      <c r="B48" t="s">
        <v>465</v>
      </c>
      <c r="C48" s="47">
        <v>1.7000000000000001E-2</v>
      </c>
      <c r="D48">
        <v>120</v>
      </c>
      <c r="E48" t="s">
        <v>128</v>
      </c>
      <c r="F48" s="15">
        <v>2.1</v>
      </c>
      <c r="G48">
        <v>10</v>
      </c>
      <c r="H48">
        <v>53</v>
      </c>
      <c r="I48" t="s">
        <v>466</v>
      </c>
      <c r="J48" t="s">
        <v>277</v>
      </c>
      <c r="K48">
        <f>Consulta1[[#This Row],[min_port]]/100</f>
        <v>1.3000000000000001E-2</v>
      </c>
      <c r="L48" s="47">
        <f>Consulta1[[#This Row],[TETO_COMERCIAL]]/100</f>
        <v>2.1000000000000001E-2</v>
      </c>
    </row>
    <row r="49" spans="1:12" x14ac:dyDescent="0.25">
      <c r="A49" t="s">
        <v>475</v>
      </c>
      <c r="B49" t="s">
        <v>159</v>
      </c>
      <c r="C49" s="47">
        <v>2.29E-2</v>
      </c>
      <c r="D49">
        <v>96</v>
      </c>
      <c r="E49" t="s">
        <v>128</v>
      </c>
      <c r="F49" s="15">
        <v>2.29</v>
      </c>
      <c r="G49">
        <v>10</v>
      </c>
      <c r="H49">
        <v>54</v>
      </c>
      <c r="I49" t="s">
        <v>319</v>
      </c>
      <c r="J49" t="s">
        <v>310</v>
      </c>
      <c r="K49">
        <f>Consulta1[[#This Row],[min_port]]/100</f>
        <v>1.44E-2</v>
      </c>
      <c r="L49" s="47">
        <f>Consulta1[[#This Row],[TETO_COMERCIAL]]/100</f>
        <v>2.29E-2</v>
      </c>
    </row>
    <row r="50" spans="1:12" x14ac:dyDescent="0.25">
      <c r="A50" t="s">
        <v>475</v>
      </c>
      <c r="B50" t="s">
        <v>160</v>
      </c>
      <c r="C50" s="47">
        <v>2.1899999999999999E-2</v>
      </c>
      <c r="D50">
        <v>96</v>
      </c>
      <c r="E50" t="s">
        <v>128</v>
      </c>
      <c r="F50" s="15">
        <v>2.29</v>
      </c>
      <c r="G50">
        <v>10</v>
      </c>
      <c r="H50">
        <v>41</v>
      </c>
      <c r="I50" t="s">
        <v>316</v>
      </c>
      <c r="J50" t="s">
        <v>310</v>
      </c>
      <c r="K50">
        <f>Consulta1[[#This Row],[min_port]]/100</f>
        <v>1.44E-2</v>
      </c>
      <c r="L50" s="47">
        <f>Consulta1[[#This Row],[TETO_COMERCIAL]]/100</f>
        <v>2.29E-2</v>
      </c>
    </row>
    <row r="51" spans="1:12" x14ac:dyDescent="0.25">
      <c r="A51" t="s">
        <v>475</v>
      </c>
      <c r="B51" t="s">
        <v>161</v>
      </c>
      <c r="C51" s="47">
        <v>2.0899999999999998E-2</v>
      </c>
      <c r="D51">
        <v>96</v>
      </c>
      <c r="E51" t="s">
        <v>128</v>
      </c>
      <c r="F51" s="15">
        <v>2.29</v>
      </c>
      <c r="G51">
        <v>10</v>
      </c>
      <c r="H51">
        <v>44</v>
      </c>
      <c r="I51" t="s">
        <v>315</v>
      </c>
      <c r="J51" t="s">
        <v>310</v>
      </c>
      <c r="K51">
        <f>Consulta1[[#This Row],[min_port]]/100</f>
        <v>1.44E-2</v>
      </c>
      <c r="L51" s="47">
        <f>Consulta1[[#This Row],[TETO_COMERCIAL]]/100</f>
        <v>2.29E-2</v>
      </c>
    </row>
    <row r="52" spans="1:12" x14ac:dyDescent="0.25">
      <c r="A52" t="s">
        <v>475</v>
      </c>
      <c r="B52" t="s">
        <v>162</v>
      </c>
      <c r="C52" s="47">
        <v>1.9900000000000001E-2</v>
      </c>
      <c r="D52">
        <v>96</v>
      </c>
      <c r="E52" t="s">
        <v>128</v>
      </c>
      <c r="F52" s="15">
        <v>2.29</v>
      </c>
      <c r="G52">
        <v>10</v>
      </c>
      <c r="H52">
        <v>42</v>
      </c>
      <c r="I52" t="s">
        <v>312</v>
      </c>
      <c r="J52" t="s">
        <v>310</v>
      </c>
      <c r="K52">
        <f>Consulta1[[#This Row],[min_port]]/100</f>
        <v>1.44E-2</v>
      </c>
      <c r="L52" s="47">
        <f>Consulta1[[#This Row],[TETO_COMERCIAL]]/100</f>
        <v>2.29E-2</v>
      </c>
    </row>
    <row r="53" spans="1:12" x14ac:dyDescent="0.25">
      <c r="A53" t="s">
        <v>475</v>
      </c>
      <c r="B53" t="s">
        <v>163</v>
      </c>
      <c r="C53" s="47">
        <v>1.8500000000000003E-2</v>
      </c>
      <c r="D53">
        <v>96</v>
      </c>
      <c r="E53" t="s">
        <v>128</v>
      </c>
      <c r="F53" s="15">
        <v>2.29</v>
      </c>
      <c r="G53">
        <v>10</v>
      </c>
      <c r="H53">
        <v>46</v>
      </c>
      <c r="I53" t="s">
        <v>309</v>
      </c>
      <c r="J53" t="s">
        <v>310</v>
      </c>
      <c r="K53">
        <f>Consulta1[[#This Row],[min_port]]/100</f>
        <v>1.44E-2</v>
      </c>
      <c r="L53" s="47">
        <f>Consulta1[[#This Row],[TETO_COMERCIAL]]/100</f>
        <v>2.29E-2</v>
      </c>
    </row>
    <row r="54" spans="1:12" x14ac:dyDescent="0.25">
      <c r="A54" t="s">
        <v>476</v>
      </c>
      <c r="B54" t="s">
        <v>154</v>
      </c>
      <c r="C54" s="47">
        <v>2.29E-2</v>
      </c>
      <c r="D54">
        <v>96</v>
      </c>
      <c r="E54" t="s">
        <v>128</v>
      </c>
      <c r="F54" s="15">
        <v>2.29</v>
      </c>
      <c r="G54">
        <v>10</v>
      </c>
      <c r="H54">
        <v>49</v>
      </c>
      <c r="I54" t="s">
        <v>318</v>
      </c>
      <c r="J54" t="s">
        <v>310</v>
      </c>
      <c r="K54">
        <f>Consulta1[[#This Row],[min_port]]/100</f>
        <v>1.44E-2</v>
      </c>
      <c r="L54" s="47">
        <f>Consulta1[[#This Row],[TETO_COMERCIAL]]/100</f>
        <v>2.29E-2</v>
      </c>
    </row>
    <row r="55" spans="1:12" x14ac:dyDescent="0.25">
      <c r="A55" t="s">
        <v>476</v>
      </c>
      <c r="B55" t="s">
        <v>155</v>
      </c>
      <c r="C55" s="47">
        <v>2.1899999999999999E-2</v>
      </c>
      <c r="D55">
        <v>96</v>
      </c>
      <c r="E55" t="s">
        <v>128</v>
      </c>
      <c r="F55" s="15">
        <v>2.29</v>
      </c>
      <c r="G55">
        <v>10</v>
      </c>
      <c r="H55">
        <v>42</v>
      </c>
      <c r="I55" t="s">
        <v>317</v>
      </c>
      <c r="J55" t="s">
        <v>310</v>
      </c>
      <c r="K55">
        <f>Consulta1[[#This Row],[min_port]]/100</f>
        <v>1.44E-2</v>
      </c>
      <c r="L55" s="47">
        <f>Consulta1[[#This Row],[TETO_COMERCIAL]]/100</f>
        <v>2.29E-2</v>
      </c>
    </row>
    <row r="56" spans="1:12" x14ac:dyDescent="0.25">
      <c r="A56" t="s">
        <v>476</v>
      </c>
      <c r="B56" t="s">
        <v>156</v>
      </c>
      <c r="C56" s="47">
        <v>2.0899999999999998E-2</v>
      </c>
      <c r="D56">
        <v>96</v>
      </c>
      <c r="E56" t="s">
        <v>128</v>
      </c>
      <c r="F56" s="15">
        <v>2.29</v>
      </c>
      <c r="G56">
        <v>10</v>
      </c>
      <c r="H56">
        <v>45</v>
      </c>
      <c r="I56" t="s">
        <v>314</v>
      </c>
      <c r="J56" t="s">
        <v>310</v>
      </c>
      <c r="K56">
        <f>Consulta1[[#This Row],[min_port]]/100</f>
        <v>1.44E-2</v>
      </c>
      <c r="L56" s="47">
        <f>Consulta1[[#This Row],[TETO_COMERCIAL]]/100</f>
        <v>2.29E-2</v>
      </c>
    </row>
    <row r="57" spans="1:12" x14ac:dyDescent="0.25">
      <c r="A57" t="s">
        <v>476</v>
      </c>
      <c r="B57" t="s">
        <v>157</v>
      </c>
      <c r="C57" s="47">
        <v>1.9900000000000001E-2</v>
      </c>
      <c r="D57">
        <v>96</v>
      </c>
      <c r="E57" t="s">
        <v>128</v>
      </c>
      <c r="F57" s="15">
        <v>2.29</v>
      </c>
      <c r="G57">
        <v>10</v>
      </c>
      <c r="H57">
        <v>45</v>
      </c>
      <c r="I57" t="s">
        <v>313</v>
      </c>
      <c r="J57" t="s">
        <v>310</v>
      </c>
      <c r="K57">
        <f>Consulta1[[#This Row],[min_port]]/100</f>
        <v>1.44E-2</v>
      </c>
      <c r="L57" s="47">
        <f>Consulta1[[#This Row],[TETO_COMERCIAL]]/100</f>
        <v>2.29E-2</v>
      </c>
    </row>
    <row r="58" spans="1:12" x14ac:dyDescent="0.25">
      <c r="A58" t="s">
        <v>476</v>
      </c>
      <c r="B58" t="s">
        <v>158</v>
      </c>
      <c r="C58" s="47">
        <v>1.8500000000000003E-2</v>
      </c>
      <c r="D58">
        <v>96</v>
      </c>
      <c r="E58" t="s">
        <v>128</v>
      </c>
      <c r="F58" s="15">
        <v>2.29</v>
      </c>
      <c r="G58">
        <v>10</v>
      </c>
      <c r="H58">
        <v>45</v>
      </c>
      <c r="I58" t="s">
        <v>311</v>
      </c>
      <c r="J58" t="s">
        <v>310</v>
      </c>
      <c r="K58">
        <f>Consulta1[[#This Row],[min_port]]/100</f>
        <v>1.44E-2</v>
      </c>
      <c r="L58" s="47">
        <f>Consulta1[[#This Row],[TETO_COMERCIAL]]/100</f>
        <v>2.29E-2</v>
      </c>
    </row>
    <row r="59" spans="1:12" x14ac:dyDescent="0.25">
      <c r="A59" t="s">
        <v>97</v>
      </c>
      <c r="B59" t="s">
        <v>327</v>
      </c>
      <c r="C59" s="47">
        <v>2.29E-2</v>
      </c>
      <c r="D59">
        <v>96</v>
      </c>
      <c r="E59" t="s">
        <v>128</v>
      </c>
      <c r="F59" s="15">
        <v>2.29</v>
      </c>
      <c r="G59">
        <v>10</v>
      </c>
      <c r="H59">
        <v>56</v>
      </c>
      <c r="I59" t="s">
        <v>328</v>
      </c>
      <c r="J59" t="s">
        <v>310</v>
      </c>
      <c r="K59">
        <f>Consulta1[[#This Row],[min_port]]/100</f>
        <v>1.44E-2</v>
      </c>
      <c r="L59" s="47">
        <f>Consulta1[[#This Row],[TETO_COMERCIAL]]/100</f>
        <v>2.29E-2</v>
      </c>
    </row>
    <row r="60" spans="1:12" x14ac:dyDescent="0.25">
      <c r="A60" t="s">
        <v>97</v>
      </c>
      <c r="B60" t="s">
        <v>325</v>
      </c>
      <c r="C60" s="47">
        <v>2.1899999999999999E-2</v>
      </c>
      <c r="D60">
        <v>96</v>
      </c>
      <c r="E60" t="s">
        <v>128</v>
      </c>
      <c r="F60" s="15">
        <v>2.29</v>
      </c>
      <c r="G60">
        <v>10</v>
      </c>
      <c r="H60">
        <v>60</v>
      </c>
      <c r="I60" t="s">
        <v>326</v>
      </c>
      <c r="J60" t="s">
        <v>310</v>
      </c>
      <c r="K60">
        <f>Consulta1[[#This Row],[min_port]]/100</f>
        <v>1.44E-2</v>
      </c>
      <c r="L60" s="47">
        <f>Consulta1[[#This Row],[TETO_COMERCIAL]]/100</f>
        <v>2.29E-2</v>
      </c>
    </row>
    <row r="61" spans="1:12" x14ac:dyDescent="0.25">
      <c r="A61" t="s">
        <v>97</v>
      </c>
      <c r="B61" t="s">
        <v>323</v>
      </c>
      <c r="C61" s="47">
        <v>2.0899999999999998E-2</v>
      </c>
      <c r="D61">
        <v>96</v>
      </c>
      <c r="E61" t="s">
        <v>128</v>
      </c>
      <c r="F61" s="15">
        <v>2.29</v>
      </c>
      <c r="G61">
        <v>10</v>
      </c>
      <c r="H61">
        <v>59</v>
      </c>
      <c r="I61" t="s">
        <v>324</v>
      </c>
      <c r="J61" t="s">
        <v>310</v>
      </c>
      <c r="K61">
        <f>Consulta1[[#This Row],[min_port]]/100</f>
        <v>1.44E-2</v>
      </c>
      <c r="L61" s="47">
        <f>Consulta1[[#This Row],[TETO_COMERCIAL]]/100</f>
        <v>2.29E-2</v>
      </c>
    </row>
    <row r="62" spans="1:12" x14ac:dyDescent="0.25">
      <c r="A62" t="s">
        <v>97</v>
      </c>
      <c r="B62" t="s">
        <v>321</v>
      </c>
      <c r="C62" s="47">
        <v>1.9900000000000001E-2</v>
      </c>
      <c r="D62">
        <v>96</v>
      </c>
      <c r="E62" t="s">
        <v>128</v>
      </c>
      <c r="F62" s="15">
        <v>2.29</v>
      </c>
      <c r="G62">
        <v>10</v>
      </c>
      <c r="H62">
        <v>52</v>
      </c>
      <c r="I62" t="s">
        <v>322</v>
      </c>
      <c r="J62" t="s">
        <v>310</v>
      </c>
      <c r="K62">
        <f>Consulta1[[#This Row],[min_port]]/100</f>
        <v>1.44E-2</v>
      </c>
      <c r="L62" s="47">
        <f>Consulta1[[#This Row],[TETO_COMERCIAL]]/100</f>
        <v>2.29E-2</v>
      </c>
    </row>
    <row r="63" spans="1:12" x14ac:dyDescent="0.25">
      <c r="A63" t="s">
        <v>97</v>
      </c>
      <c r="B63" t="s">
        <v>123</v>
      </c>
      <c r="C63" s="47">
        <v>1.8500000000000003E-2</v>
      </c>
      <c r="D63">
        <v>96</v>
      </c>
      <c r="E63" t="s">
        <v>128</v>
      </c>
      <c r="F63" s="15">
        <v>2.29</v>
      </c>
      <c r="G63">
        <v>10</v>
      </c>
      <c r="H63">
        <v>47</v>
      </c>
      <c r="I63" t="s">
        <v>320</v>
      </c>
      <c r="J63" t="s">
        <v>310</v>
      </c>
      <c r="K63">
        <f>Consulta1[[#This Row],[min_port]]/100</f>
        <v>1.44E-2</v>
      </c>
      <c r="L63" s="47">
        <f>Consulta1[[#This Row],[TETO_COMERCIAL]]/100</f>
        <v>2.29E-2</v>
      </c>
    </row>
    <row r="64" spans="1:12" x14ac:dyDescent="0.25">
      <c r="A64" t="s">
        <v>164</v>
      </c>
      <c r="B64" t="s">
        <v>332</v>
      </c>
      <c r="C64" s="47">
        <v>1.9E-2</v>
      </c>
      <c r="D64">
        <v>120</v>
      </c>
      <c r="E64" t="s">
        <v>128</v>
      </c>
      <c r="F64" s="15">
        <v>2.1</v>
      </c>
      <c r="G64">
        <v>5</v>
      </c>
      <c r="H64">
        <v>68</v>
      </c>
      <c r="I64" t="s">
        <v>333</v>
      </c>
      <c r="J64" t="s">
        <v>263</v>
      </c>
      <c r="K64">
        <f>Consulta1[[#This Row],[min_port]]/100</f>
        <v>1.55E-2</v>
      </c>
      <c r="L64" s="47">
        <f>Consulta1[[#This Row],[TETO_COMERCIAL]]/100</f>
        <v>2.1000000000000001E-2</v>
      </c>
    </row>
    <row r="65" spans="1:12" x14ac:dyDescent="0.25">
      <c r="A65" t="s">
        <v>164</v>
      </c>
      <c r="B65" t="s">
        <v>330</v>
      </c>
      <c r="C65" s="47">
        <v>1.8500000000000003E-2</v>
      </c>
      <c r="D65">
        <v>120</v>
      </c>
      <c r="E65" t="s">
        <v>128</v>
      </c>
      <c r="F65" s="15">
        <v>2.1</v>
      </c>
      <c r="G65">
        <v>5</v>
      </c>
      <c r="H65">
        <v>76</v>
      </c>
      <c r="I65" t="s">
        <v>331</v>
      </c>
      <c r="J65" t="s">
        <v>263</v>
      </c>
      <c r="K65">
        <f>Consulta1[[#This Row],[min_port]]/100</f>
        <v>1.55E-2</v>
      </c>
      <c r="L65" s="47">
        <f>Consulta1[[#This Row],[TETO_COMERCIAL]]/100</f>
        <v>2.1000000000000001E-2</v>
      </c>
    </row>
    <row r="66" spans="1:12" x14ac:dyDescent="0.25">
      <c r="A66" t="s">
        <v>164</v>
      </c>
      <c r="B66" t="s">
        <v>165</v>
      </c>
      <c r="C66" s="47">
        <v>1.8000000000000002E-2</v>
      </c>
      <c r="D66">
        <v>120</v>
      </c>
      <c r="E66" t="s">
        <v>128</v>
      </c>
      <c r="F66" s="15">
        <v>2.1</v>
      </c>
      <c r="G66">
        <v>5</v>
      </c>
      <c r="H66">
        <v>70</v>
      </c>
      <c r="I66" t="s">
        <v>329</v>
      </c>
      <c r="J66" t="s">
        <v>263</v>
      </c>
      <c r="K66">
        <f>Consulta1[[#This Row],[min_port]]/100</f>
        <v>1.55E-2</v>
      </c>
      <c r="L66" s="47">
        <f>Consulta1[[#This Row],[TETO_COMERCIAL]]/100</f>
        <v>2.1000000000000001E-2</v>
      </c>
    </row>
    <row r="67" spans="1:12" x14ac:dyDescent="0.25">
      <c r="A67" t="s">
        <v>166</v>
      </c>
      <c r="B67" t="s">
        <v>167</v>
      </c>
      <c r="C67" s="47">
        <v>1.95E-2</v>
      </c>
      <c r="D67">
        <v>96</v>
      </c>
      <c r="E67" t="s">
        <v>128</v>
      </c>
      <c r="F67" s="15">
        <v>2.4</v>
      </c>
      <c r="G67">
        <v>10</v>
      </c>
      <c r="H67">
        <v>65</v>
      </c>
      <c r="I67" t="s">
        <v>335</v>
      </c>
      <c r="J67" t="s">
        <v>292</v>
      </c>
      <c r="K67">
        <f>Consulta1[[#This Row],[min_port]]/100</f>
        <v>1.7000000000000001E-2</v>
      </c>
      <c r="L67" s="47">
        <f>Consulta1[[#This Row],[TETO_COMERCIAL]]/100</f>
        <v>2.4E-2</v>
      </c>
    </row>
    <row r="68" spans="1:12" x14ac:dyDescent="0.25">
      <c r="A68" t="s">
        <v>166</v>
      </c>
      <c r="B68" t="s">
        <v>168</v>
      </c>
      <c r="C68" s="47">
        <v>1.8500000000000003E-2</v>
      </c>
      <c r="D68">
        <v>96</v>
      </c>
      <c r="E68" t="s">
        <v>128</v>
      </c>
      <c r="F68" s="15">
        <v>2.4</v>
      </c>
      <c r="G68">
        <v>10</v>
      </c>
      <c r="H68">
        <v>65</v>
      </c>
      <c r="I68" t="s">
        <v>334</v>
      </c>
      <c r="J68" t="s">
        <v>292</v>
      </c>
      <c r="K68">
        <f>Consulta1[[#This Row],[min_port]]/100</f>
        <v>1.7000000000000001E-2</v>
      </c>
      <c r="L68" s="47">
        <f>Consulta1[[#This Row],[TETO_COMERCIAL]]/100</f>
        <v>2.4E-2</v>
      </c>
    </row>
    <row r="69" spans="1:12" x14ac:dyDescent="0.25">
      <c r="A69" t="s">
        <v>51</v>
      </c>
      <c r="B69" t="s">
        <v>52</v>
      </c>
      <c r="C69" s="47">
        <v>1.9E-2</v>
      </c>
      <c r="D69">
        <v>84</v>
      </c>
      <c r="E69" t="s">
        <v>128</v>
      </c>
      <c r="F69" s="15">
        <v>1.91</v>
      </c>
      <c r="G69">
        <v>10</v>
      </c>
      <c r="H69">
        <v>53</v>
      </c>
      <c r="I69" t="s">
        <v>341</v>
      </c>
      <c r="J69" t="s">
        <v>351</v>
      </c>
      <c r="K69">
        <f>Consulta1[[#This Row],[min_port]]/100</f>
        <v>1.15E-2</v>
      </c>
      <c r="L69" s="47">
        <f>Consulta1[[#This Row],[TETO_COMERCIAL]]/100</f>
        <v>1.9099999999999999E-2</v>
      </c>
    </row>
    <row r="70" spans="1:12" x14ac:dyDescent="0.25">
      <c r="A70" t="s">
        <v>51</v>
      </c>
      <c r="B70" t="s">
        <v>84</v>
      </c>
      <c r="C70" s="47">
        <v>1.8500000000000003E-2</v>
      </c>
      <c r="D70">
        <v>84</v>
      </c>
      <c r="E70" t="s">
        <v>128</v>
      </c>
      <c r="F70" s="15">
        <v>1.91</v>
      </c>
      <c r="G70">
        <v>10</v>
      </c>
      <c r="H70">
        <v>53</v>
      </c>
      <c r="I70" t="s">
        <v>340</v>
      </c>
      <c r="J70" t="s">
        <v>351</v>
      </c>
      <c r="K70">
        <f>Consulta1[[#This Row],[min_port]]/100</f>
        <v>1.15E-2</v>
      </c>
      <c r="L70" s="47">
        <f>Consulta1[[#This Row],[TETO_COMERCIAL]]/100</f>
        <v>1.9099999999999999E-2</v>
      </c>
    </row>
    <row r="71" spans="1:12" x14ac:dyDescent="0.25">
      <c r="A71" t="s">
        <v>51</v>
      </c>
      <c r="B71" t="s">
        <v>85</v>
      </c>
      <c r="C71" s="47">
        <v>1.8000000000000002E-2</v>
      </c>
      <c r="D71">
        <v>84</v>
      </c>
      <c r="E71" t="s">
        <v>128</v>
      </c>
      <c r="F71" s="15">
        <v>1.91</v>
      </c>
      <c r="G71">
        <v>10</v>
      </c>
      <c r="H71">
        <v>53</v>
      </c>
      <c r="I71" t="s">
        <v>339</v>
      </c>
      <c r="J71" t="s">
        <v>351</v>
      </c>
      <c r="K71">
        <f>Consulta1[[#This Row],[min_port]]/100</f>
        <v>1.15E-2</v>
      </c>
      <c r="L71" s="47">
        <f>Consulta1[[#This Row],[TETO_COMERCIAL]]/100</f>
        <v>1.9099999999999999E-2</v>
      </c>
    </row>
    <row r="72" spans="1:12" x14ac:dyDescent="0.25">
      <c r="A72" t="s">
        <v>51</v>
      </c>
      <c r="B72" t="s">
        <v>86</v>
      </c>
      <c r="C72" s="47">
        <v>1.7500000000000002E-2</v>
      </c>
      <c r="D72">
        <v>84</v>
      </c>
      <c r="E72" t="s">
        <v>128</v>
      </c>
      <c r="F72" s="15">
        <v>1.91</v>
      </c>
      <c r="G72">
        <v>10</v>
      </c>
      <c r="H72">
        <v>53</v>
      </c>
      <c r="I72" t="s">
        <v>338</v>
      </c>
      <c r="J72" t="s">
        <v>351</v>
      </c>
      <c r="K72">
        <f>Consulta1[[#This Row],[min_port]]/100</f>
        <v>1.15E-2</v>
      </c>
      <c r="L72" s="47">
        <f>Consulta1[[#This Row],[TETO_COMERCIAL]]/100</f>
        <v>1.9099999999999999E-2</v>
      </c>
    </row>
    <row r="73" spans="1:12" x14ac:dyDescent="0.25">
      <c r="A73" t="s">
        <v>51</v>
      </c>
      <c r="B73" t="s">
        <v>87</v>
      </c>
      <c r="C73" s="47">
        <v>1.7000000000000001E-2</v>
      </c>
      <c r="D73">
        <v>84</v>
      </c>
      <c r="E73" t="s">
        <v>128</v>
      </c>
      <c r="F73" s="15">
        <v>1.91</v>
      </c>
      <c r="G73">
        <v>10</v>
      </c>
      <c r="H73">
        <v>53</v>
      </c>
      <c r="I73" t="s">
        <v>337</v>
      </c>
      <c r="J73" t="s">
        <v>351</v>
      </c>
      <c r="K73">
        <f>Consulta1[[#This Row],[min_port]]/100</f>
        <v>1.15E-2</v>
      </c>
      <c r="L73" s="47">
        <f>Consulta1[[#This Row],[TETO_COMERCIAL]]/100</f>
        <v>1.9099999999999999E-2</v>
      </c>
    </row>
    <row r="74" spans="1:12" x14ac:dyDescent="0.25">
      <c r="A74" t="s">
        <v>51</v>
      </c>
      <c r="B74" t="s">
        <v>88</v>
      </c>
      <c r="C74" s="47">
        <v>1.6500000000000001E-2</v>
      </c>
      <c r="D74">
        <v>84</v>
      </c>
      <c r="E74" t="s">
        <v>128</v>
      </c>
      <c r="F74" s="15">
        <v>1.91</v>
      </c>
      <c r="G74">
        <v>10</v>
      </c>
      <c r="H74">
        <v>53</v>
      </c>
      <c r="I74" t="s">
        <v>336</v>
      </c>
      <c r="J74" t="s">
        <v>351</v>
      </c>
      <c r="K74">
        <f>Consulta1[[#This Row],[min_port]]/100</f>
        <v>1.15E-2</v>
      </c>
      <c r="L74" s="47">
        <f>Consulta1[[#This Row],[TETO_COMERCIAL]]/100</f>
        <v>1.9099999999999999E-2</v>
      </c>
    </row>
    <row r="75" spans="1:12" x14ac:dyDescent="0.25">
      <c r="A75" t="s">
        <v>170</v>
      </c>
      <c r="B75" t="s">
        <v>171</v>
      </c>
      <c r="C75" s="47">
        <v>2.1499999999999998E-2</v>
      </c>
      <c r="D75">
        <v>120</v>
      </c>
      <c r="E75" t="s">
        <v>128</v>
      </c>
      <c r="F75" s="15">
        <v>2.4</v>
      </c>
      <c r="G75">
        <v>12</v>
      </c>
      <c r="H75">
        <v>43</v>
      </c>
      <c r="I75" t="s">
        <v>345</v>
      </c>
      <c r="J75" t="s">
        <v>258</v>
      </c>
      <c r="K75">
        <f>Consulta1[[#This Row],[min_port]]/100</f>
        <v>1.6399999999999998E-2</v>
      </c>
      <c r="L75" s="47">
        <f>Consulta1[[#This Row],[TETO_COMERCIAL]]/100</f>
        <v>2.4E-2</v>
      </c>
    </row>
    <row r="76" spans="1:12" x14ac:dyDescent="0.25">
      <c r="A76" t="s">
        <v>170</v>
      </c>
      <c r="B76" t="s">
        <v>172</v>
      </c>
      <c r="C76" s="47">
        <v>2.0499999999999997E-2</v>
      </c>
      <c r="D76">
        <v>120</v>
      </c>
      <c r="E76" t="s">
        <v>128</v>
      </c>
      <c r="F76" s="15">
        <v>2.4</v>
      </c>
      <c r="G76">
        <v>12</v>
      </c>
      <c r="H76">
        <v>47</v>
      </c>
      <c r="I76" t="s">
        <v>344</v>
      </c>
      <c r="J76" t="s">
        <v>258</v>
      </c>
      <c r="K76">
        <f>Consulta1[[#This Row],[min_port]]/100</f>
        <v>1.6399999999999998E-2</v>
      </c>
      <c r="L76" s="47">
        <f>Consulta1[[#This Row],[TETO_COMERCIAL]]/100</f>
        <v>2.4E-2</v>
      </c>
    </row>
    <row r="77" spans="1:12" x14ac:dyDescent="0.25">
      <c r="A77" t="s">
        <v>170</v>
      </c>
      <c r="B77" t="s">
        <v>173</v>
      </c>
      <c r="C77" s="47">
        <v>1.9400000000000001E-2</v>
      </c>
      <c r="D77">
        <v>120</v>
      </c>
      <c r="E77" t="s">
        <v>128</v>
      </c>
      <c r="F77" s="15">
        <v>2.4</v>
      </c>
      <c r="G77">
        <v>12</v>
      </c>
      <c r="H77">
        <v>46</v>
      </c>
      <c r="I77" t="s">
        <v>343</v>
      </c>
      <c r="J77" t="s">
        <v>258</v>
      </c>
      <c r="K77">
        <f>Consulta1[[#This Row],[min_port]]/100</f>
        <v>1.6399999999999998E-2</v>
      </c>
      <c r="L77" s="47">
        <f>Consulta1[[#This Row],[TETO_COMERCIAL]]/100</f>
        <v>2.4E-2</v>
      </c>
    </row>
    <row r="78" spans="1:12" x14ac:dyDescent="0.25">
      <c r="A78" t="s">
        <v>170</v>
      </c>
      <c r="B78" t="s">
        <v>174</v>
      </c>
      <c r="C78" s="47">
        <v>1.7899999999999999E-2</v>
      </c>
      <c r="D78">
        <v>120</v>
      </c>
      <c r="E78" t="s">
        <v>128</v>
      </c>
      <c r="F78" s="15">
        <v>2.4</v>
      </c>
      <c r="G78">
        <v>12</v>
      </c>
      <c r="H78">
        <v>47</v>
      </c>
      <c r="I78" t="s">
        <v>342</v>
      </c>
      <c r="J78" t="s">
        <v>258</v>
      </c>
      <c r="K78">
        <f>Consulta1[[#This Row],[min_port]]/100</f>
        <v>1.6399999999999998E-2</v>
      </c>
      <c r="L78" s="47">
        <f>Consulta1[[#This Row],[TETO_COMERCIAL]]/100</f>
        <v>2.4E-2</v>
      </c>
    </row>
    <row r="79" spans="1:12" x14ac:dyDescent="0.25">
      <c r="A79" t="s">
        <v>175</v>
      </c>
      <c r="B79" t="s">
        <v>176</v>
      </c>
      <c r="C79" s="47">
        <v>1.9400000000000001E-2</v>
      </c>
      <c r="D79">
        <v>120</v>
      </c>
      <c r="E79" t="s">
        <v>128</v>
      </c>
      <c r="F79" s="15">
        <v>2.4</v>
      </c>
      <c r="G79">
        <v>10</v>
      </c>
      <c r="H79">
        <v>46</v>
      </c>
      <c r="I79" t="s">
        <v>346</v>
      </c>
      <c r="J79" t="s">
        <v>258</v>
      </c>
      <c r="K79">
        <f>Consulta1[[#This Row],[min_port]]/100</f>
        <v>1.6399999999999998E-2</v>
      </c>
      <c r="L79" s="47">
        <f>Consulta1[[#This Row],[TETO_COMERCIAL]]/100</f>
        <v>2.4E-2</v>
      </c>
    </row>
    <row r="80" spans="1:12" x14ac:dyDescent="0.25">
      <c r="A80" t="s">
        <v>177</v>
      </c>
      <c r="B80" t="s">
        <v>178</v>
      </c>
      <c r="C80" s="47">
        <v>2.3E-2</v>
      </c>
      <c r="D80">
        <v>96</v>
      </c>
      <c r="E80" t="s">
        <v>128</v>
      </c>
      <c r="F80" s="15">
        <v>2.8</v>
      </c>
      <c r="G80">
        <v>25</v>
      </c>
      <c r="H80">
        <v>74</v>
      </c>
      <c r="I80" t="s">
        <v>349</v>
      </c>
      <c r="J80" t="s">
        <v>255</v>
      </c>
      <c r="K80">
        <f>Consulta1[[#This Row],[min_port]]/100</f>
        <v>1.8500000000000003E-2</v>
      </c>
      <c r="L80" s="47">
        <f>Consulta1[[#This Row],[TETO_COMERCIAL]]/100</f>
        <v>2.7999999999999997E-2</v>
      </c>
    </row>
    <row r="81" spans="1:12" x14ac:dyDescent="0.25">
      <c r="A81" t="s">
        <v>177</v>
      </c>
      <c r="B81" t="s">
        <v>179</v>
      </c>
      <c r="C81" s="47">
        <v>2.2000000000000002E-2</v>
      </c>
      <c r="D81">
        <v>96</v>
      </c>
      <c r="E81" t="s">
        <v>128</v>
      </c>
      <c r="F81" s="15">
        <v>2.8</v>
      </c>
      <c r="G81">
        <v>25</v>
      </c>
      <c r="H81">
        <v>73</v>
      </c>
      <c r="I81" t="s">
        <v>348</v>
      </c>
      <c r="J81" t="s">
        <v>255</v>
      </c>
      <c r="K81">
        <f>Consulta1[[#This Row],[min_port]]/100</f>
        <v>1.8500000000000003E-2</v>
      </c>
      <c r="L81" s="47">
        <f>Consulta1[[#This Row],[TETO_COMERCIAL]]/100</f>
        <v>2.7999999999999997E-2</v>
      </c>
    </row>
    <row r="82" spans="1:12" x14ac:dyDescent="0.25">
      <c r="A82" t="s">
        <v>177</v>
      </c>
      <c r="B82" t="s">
        <v>180</v>
      </c>
      <c r="C82" s="47">
        <v>2.1000000000000001E-2</v>
      </c>
      <c r="D82">
        <v>96</v>
      </c>
      <c r="E82" t="s">
        <v>128</v>
      </c>
      <c r="F82" s="15">
        <v>2.8</v>
      </c>
      <c r="G82">
        <v>25</v>
      </c>
      <c r="H82">
        <v>69</v>
      </c>
      <c r="I82" t="s">
        <v>347</v>
      </c>
      <c r="J82" t="s">
        <v>255</v>
      </c>
      <c r="K82">
        <f>Consulta1[[#This Row],[min_port]]/100</f>
        <v>1.8500000000000003E-2</v>
      </c>
      <c r="L82" s="47">
        <f>Consulta1[[#This Row],[TETO_COMERCIAL]]/100</f>
        <v>2.7999999999999997E-2</v>
      </c>
    </row>
    <row r="83" spans="1:12" x14ac:dyDescent="0.25">
      <c r="A83" t="s">
        <v>35</v>
      </c>
      <c r="B83" t="s">
        <v>42</v>
      </c>
      <c r="C83" s="47">
        <v>1.9E-2</v>
      </c>
      <c r="D83">
        <v>72</v>
      </c>
      <c r="E83" t="s">
        <v>128</v>
      </c>
      <c r="F83" s="15">
        <v>2</v>
      </c>
      <c r="G83">
        <v>5</v>
      </c>
      <c r="H83">
        <v>49</v>
      </c>
      <c r="I83" t="s">
        <v>354</v>
      </c>
      <c r="J83">
        <v>1.3</v>
      </c>
      <c r="K83">
        <f>Consulta1[[#This Row],[min_port]]/100</f>
        <v>1.3000000000000001E-2</v>
      </c>
      <c r="L83" s="47">
        <f>Consulta1[[#This Row],[TETO_COMERCIAL]]/100</f>
        <v>0.02</v>
      </c>
    </row>
    <row r="84" spans="1:12" x14ac:dyDescent="0.25">
      <c r="A84" t="s">
        <v>35</v>
      </c>
      <c r="B84" t="s">
        <v>43</v>
      </c>
      <c r="C84" s="47">
        <v>1.8500000000000003E-2</v>
      </c>
      <c r="D84">
        <v>72</v>
      </c>
      <c r="E84" t="s">
        <v>128</v>
      </c>
      <c r="F84" s="15">
        <v>2</v>
      </c>
      <c r="G84">
        <v>5</v>
      </c>
      <c r="H84">
        <v>49</v>
      </c>
      <c r="I84" t="s">
        <v>353</v>
      </c>
      <c r="J84">
        <v>1.3</v>
      </c>
      <c r="K84">
        <f>Consulta1[[#This Row],[min_port]]/100</f>
        <v>1.3000000000000001E-2</v>
      </c>
      <c r="L84" s="47">
        <f>Consulta1[[#This Row],[TETO_COMERCIAL]]/100</f>
        <v>0.02</v>
      </c>
    </row>
    <row r="85" spans="1:12" x14ac:dyDescent="0.25">
      <c r="A85" t="s">
        <v>35</v>
      </c>
      <c r="B85" t="s">
        <v>78</v>
      </c>
      <c r="C85" s="47">
        <v>1.7500000000000002E-2</v>
      </c>
      <c r="D85">
        <v>72</v>
      </c>
      <c r="E85" t="s">
        <v>128</v>
      </c>
      <c r="F85" s="15">
        <v>2</v>
      </c>
      <c r="G85">
        <v>5</v>
      </c>
      <c r="H85">
        <v>49</v>
      </c>
      <c r="I85" t="s">
        <v>352</v>
      </c>
      <c r="J85">
        <v>1.3</v>
      </c>
      <c r="K85">
        <f>Consulta1[[#This Row],[min_port]]/100</f>
        <v>1.3000000000000001E-2</v>
      </c>
      <c r="L85" s="47">
        <f>Consulta1[[#This Row],[TETO_COMERCIAL]]/100</f>
        <v>0.02</v>
      </c>
    </row>
    <row r="86" spans="1:12" x14ac:dyDescent="0.25">
      <c r="A86" t="s">
        <v>35</v>
      </c>
      <c r="B86" t="s">
        <v>79</v>
      </c>
      <c r="C86" s="47">
        <v>1.61E-2</v>
      </c>
      <c r="D86">
        <v>72</v>
      </c>
      <c r="E86" t="s">
        <v>128</v>
      </c>
      <c r="F86" s="15">
        <v>2</v>
      </c>
      <c r="G86">
        <v>5</v>
      </c>
      <c r="H86">
        <v>49</v>
      </c>
      <c r="I86" t="s">
        <v>350</v>
      </c>
      <c r="J86">
        <v>1.3</v>
      </c>
      <c r="K86">
        <f>Consulta1[[#This Row],[min_port]]/100</f>
        <v>1.3000000000000001E-2</v>
      </c>
      <c r="L86" s="47">
        <f>Consulta1[[#This Row],[TETO_COMERCIAL]]/100</f>
        <v>0.02</v>
      </c>
    </row>
    <row r="87" spans="1:12" x14ac:dyDescent="0.25">
      <c r="A87" t="s">
        <v>181</v>
      </c>
      <c r="B87" t="s">
        <v>358</v>
      </c>
      <c r="C87" s="47">
        <v>2.2499999999999999E-2</v>
      </c>
      <c r="D87">
        <v>120</v>
      </c>
      <c r="E87" t="s">
        <v>128</v>
      </c>
      <c r="F87" s="15">
        <v>2.25</v>
      </c>
      <c r="G87">
        <v>10</v>
      </c>
      <c r="H87">
        <v>46</v>
      </c>
      <c r="I87" t="s">
        <v>359</v>
      </c>
      <c r="J87" t="s">
        <v>356</v>
      </c>
      <c r="K87">
        <f>Consulta1[[#This Row],[min_port]]/100</f>
        <v>1.9099999999999999E-2</v>
      </c>
      <c r="L87" s="47">
        <f>Consulta1[[#This Row],[TETO_COMERCIAL]]/100</f>
        <v>2.2499999999999999E-2</v>
      </c>
    </row>
    <row r="88" spans="1:12" x14ac:dyDescent="0.25">
      <c r="A88" t="s">
        <v>181</v>
      </c>
      <c r="B88" t="s">
        <v>182</v>
      </c>
      <c r="C88" s="47">
        <v>2.2000000000000002E-2</v>
      </c>
      <c r="D88">
        <v>120</v>
      </c>
      <c r="E88" t="s">
        <v>128</v>
      </c>
      <c r="F88" s="15">
        <v>2.25</v>
      </c>
      <c r="G88">
        <v>10</v>
      </c>
      <c r="H88">
        <v>56</v>
      </c>
      <c r="I88" t="s">
        <v>357</v>
      </c>
      <c r="J88" t="s">
        <v>356</v>
      </c>
      <c r="K88">
        <f>Consulta1[[#This Row],[min_port]]/100</f>
        <v>1.9099999999999999E-2</v>
      </c>
      <c r="L88" s="47">
        <f>Consulta1[[#This Row],[TETO_COMERCIAL]]/100</f>
        <v>2.2499999999999999E-2</v>
      </c>
    </row>
    <row r="89" spans="1:12" x14ac:dyDescent="0.25">
      <c r="A89" t="s">
        <v>181</v>
      </c>
      <c r="B89" t="s">
        <v>183</v>
      </c>
      <c r="C89" s="47">
        <v>2.1600000000000001E-2</v>
      </c>
      <c r="D89">
        <v>120</v>
      </c>
      <c r="E89" t="s">
        <v>128</v>
      </c>
      <c r="F89" s="15">
        <v>2.25</v>
      </c>
      <c r="G89">
        <v>10</v>
      </c>
      <c r="H89">
        <v>46</v>
      </c>
      <c r="I89" t="s">
        <v>355</v>
      </c>
      <c r="J89" t="s">
        <v>356</v>
      </c>
      <c r="K89">
        <f>Consulta1[[#This Row],[min_port]]/100</f>
        <v>1.9099999999999999E-2</v>
      </c>
      <c r="L89" s="47">
        <f>Consulta1[[#This Row],[TETO_COMERCIAL]]/100</f>
        <v>2.2499999999999999E-2</v>
      </c>
    </row>
    <row r="90" spans="1:12" x14ac:dyDescent="0.25">
      <c r="A90" t="s">
        <v>184</v>
      </c>
      <c r="B90" t="s">
        <v>363</v>
      </c>
      <c r="C90" s="47">
        <v>2.1499999999999998E-2</v>
      </c>
      <c r="D90">
        <v>120</v>
      </c>
      <c r="E90" t="s">
        <v>128</v>
      </c>
      <c r="F90" s="15">
        <v>2.4</v>
      </c>
      <c r="G90">
        <v>7</v>
      </c>
      <c r="H90">
        <v>51</v>
      </c>
      <c r="I90" t="s">
        <v>364</v>
      </c>
      <c r="J90" t="s">
        <v>258</v>
      </c>
      <c r="K90">
        <f>Consulta1[[#This Row],[min_port]]/100</f>
        <v>1.6399999999999998E-2</v>
      </c>
      <c r="L90" s="47">
        <f>Consulta1[[#This Row],[TETO_COMERCIAL]]/100</f>
        <v>2.4E-2</v>
      </c>
    </row>
    <row r="91" spans="1:12" x14ac:dyDescent="0.25">
      <c r="A91" t="s">
        <v>184</v>
      </c>
      <c r="B91" t="s">
        <v>185</v>
      </c>
      <c r="C91" s="47">
        <v>2.0499999999999997E-2</v>
      </c>
      <c r="D91">
        <v>120</v>
      </c>
      <c r="E91" t="s">
        <v>128</v>
      </c>
      <c r="F91" s="15">
        <v>2.4</v>
      </c>
      <c r="G91">
        <v>7</v>
      </c>
      <c r="H91">
        <v>49</v>
      </c>
      <c r="I91" t="s">
        <v>362</v>
      </c>
      <c r="J91" t="s">
        <v>258</v>
      </c>
      <c r="K91">
        <f>Consulta1[[#This Row],[min_port]]/100</f>
        <v>1.6399999999999998E-2</v>
      </c>
      <c r="L91" s="47">
        <f>Consulta1[[#This Row],[TETO_COMERCIAL]]/100</f>
        <v>2.4E-2</v>
      </c>
    </row>
    <row r="92" spans="1:12" x14ac:dyDescent="0.25">
      <c r="A92" t="s">
        <v>184</v>
      </c>
      <c r="B92" t="s">
        <v>186</v>
      </c>
      <c r="C92" s="47">
        <v>1.9400000000000001E-2</v>
      </c>
      <c r="D92">
        <v>120</v>
      </c>
      <c r="E92" t="s">
        <v>128</v>
      </c>
      <c r="F92" s="15">
        <v>2.4</v>
      </c>
      <c r="G92">
        <v>7</v>
      </c>
      <c r="H92">
        <v>42</v>
      </c>
      <c r="I92" t="s">
        <v>361</v>
      </c>
      <c r="J92" t="s">
        <v>258</v>
      </c>
      <c r="K92">
        <f>Consulta1[[#This Row],[min_port]]/100</f>
        <v>1.6399999999999998E-2</v>
      </c>
      <c r="L92" s="47">
        <f>Consulta1[[#This Row],[TETO_COMERCIAL]]/100</f>
        <v>2.4E-2</v>
      </c>
    </row>
    <row r="93" spans="1:12" x14ac:dyDescent="0.25">
      <c r="A93" t="s">
        <v>184</v>
      </c>
      <c r="B93" t="s">
        <v>187</v>
      </c>
      <c r="C93" s="47">
        <v>1.7899999999999999E-2</v>
      </c>
      <c r="D93">
        <v>120</v>
      </c>
      <c r="E93" t="s">
        <v>128</v>
      </c>
      <c r="F93" s="15">
        <v>2.4</v>
      </c>
      <c r="G93">
        <v>7</v>
      </c>
      <c r="H93">
        <v>51</v>
      </c>
      <c r="I93" t="s">
        <v>360</v>
      </c>
      <c r="J93" t="s">
        <v>258</v>
      </c>
      <c r="K93">
        <f>Consulta1[[#This Row],[min_port]]/100</f>
        <v>1.6399999999999998E-2</v>
      </c>
      <c r="L93" s="47">
        <f>Consulta1[[#This Row],[TETO_COMERCIAL]]/100</f>
        <v>2.4E-2</v>
      </c>
    </row>
    <row r="94" spans="1:12" x14ac:dyDescent="0.25">
      <c r="A94" t="s">
        <v>188</v>
      </c>
      <c r="B94" t="s">
        <v>189</v>
      </c>
      <c r="C94" s="47">
        <v>2.1899999999999999E-2</v>
      </c>
      <c r="D94">
        <v>120</v>
      </c>
      <c r="E94" t="s">
        <v>128</v>
      </c>
      <c r="F94" s="15">
        <v>2.5</v>
      </c>
      <c r="G94">
        <v>25</v>
      </c>
      <c r="H94">
        <v>59</v>
      </c>
      <c r="I94" t="s">
        <v>365</v>
      </c>
      <c r="J94" t="s">
        <v>366</v>
      </c>
      <c r="K94">
        <f>Consulta1[[#This Row],[min_port]]/100</f>
        <v>1.9400000000000001E-2</v>
      </c>
      <c r="L94" s="47">
        <f>Consulta1[[#This Row],[TETO_COMERCIAL]]/100</f>
        <v>2.5000000000000001E-2</v>
      </c>
    </row>
    <row r="95" spans="1:12" x14ac:dyDescent="0.25">
      <c r="A95" t="s">
        <v>190</v>
      </c>
      <c r="B95" t="s">
        <v>191</v>
      </c>
      <c r="C95" s="47">
        <v>2.2499999999999999E-2</v>
      </c>
      <c r="D95">
        <v>96</v>
      </c>
      <c r="E95" t="s">
        <v>128</v>
      </c>
      <c r="F95" s="15">
        <v>2.5</v>
      </c>
      <c r="G95">
        <v>15</v>
      </c>
      <c r="H95">
        <v>59</v>
      </c>
      <c r="I95" t="s">
        <v>369</v>
      </c>
      <c r="J95" t="s">
        <v>368</v>
      </c>
      <c r="K95">
        <f>Consulta1[[#This Row],[min_port]]/100</f>
        <v>1.9E-2</v>
      </c>
      <c r="L95" s="47">
        <f>Consulta1[[#This Row],[TETO_COMERCIAL]]/100</f>
        <v>2.5000000000000001E-2</v>
      </c>
    </row>
    <row r="96" spans="1:12" x14ac:dyDescent="0.25">
      <c r="A96" t="s">
        <v>190</v>
      </c>
      <c r="B96" t="s">
        <v>192</v>
      </c>
      <c r="C96" s="47">
        <v>2.1499999999999998E-2</v>
      </c>
      <c r="D96">
        <v>96</v>
      </c>
      <c r="E96" t="s">
        <v>128</v>
      </c>
      <c r="F96" s="15">
        <v>2.5</v>
      </c>
      <c r="G96">
        <v>15</v>
      </c>
      <c r="H96">
        <v>64</v>
      </c>
      <c r="I96" t="s">
        <v>367</v>
      </c>
      <c r="J96" t="s">
        <v>368</v>
      </c>
      <c r="K96">
        <f>Consulta1[[#This Row],[min_port]]/100</f>
        <v>1.9E-2</v>
      </c>
      <c r="L96" s="47">
        <f>Consulta1[[#This Row],[TETO_COMERCIAL]]/100</f>
        <v>2.5000000000000001E-2</v>
      </c>
    </row>
    <row r="97" spans="1:12" x14ac:dyDescent="0.25">
      <c r="A97" t="s">
        <v>494</v>
      </c>
      <c r="B97" t="s">
        <v>495</v>
      </c>
      <c r="C97" s="47">
        <v>2.1000000000000001E-2</v>
      </c>
      <c r="D97">
        <v>120</v>
      </c>
      <c r="E97" t="s">
        <v>128</v>
      </c>
      <c r="F97" s="15">
        <v>2.1</v>
      </c>
      <c r="G97">
        <v>20</v>
      </c>
      <c r="H97">
        <v>50</v>
      </c>
      <c r="I97" t="s">
        <v>496</v>
      </c>
      <c r="J97" t="s">
        <v>478</v>
      </c>
      <c r="K97">
        <f>Consulta1[[#This Row],[min_port]]/100</f>
        <v>1.8000000000000002E-2</v>
      </c>
      <c r="L97" s="47">
        <f>Consulta1[[#This Row],[TETO_COMERCIAL]]/100</f>
        <v>2.1000000000000001E-2</v>
      </c>
    </row>
    <row r="98" spans="1:12" x14ac:dyDescent="0.25">
      <c r="A98" t="s">
        <v>370</v>
      </c>
      <c r="B98" t="s">
        <v>371</v>
      </c>
      <c r="C98" s="47">
        <v>2.2499999999999999E-2</v>
      </c>
      <c r="D98">
        <v>120</v>
      </c>
      <c r="E98" t="s">
        <v>128</v>
      </c>
      <c r="F98" s="15">
        <v>2.5</v>
      </c>
      <c r="G98">
        <v>10</v>
      </c>
      <c r="H98">
        <v>46</v>
      </c>
      <c r="I98" t="s">
        <v>372</v>
      </c>
      <c r="J98" t="s">
        <v>373</v>
      </c>
      <c r="K98">
        <f>Consulta1[[#This Row],[min_port]]/100</f>
        <v>0.02</v>
      </c>
      <c r="L98" s="47">
        <f>Consulta1[[#This Row],[TETO_COMERCIAL]]/100</f>
        <v>2.5000000000000001E-2</v>
      </c>
    </row>
    <row r="99" spans="1:12" x14ac:dyDescent="0.25">
      <c r="A99" t="s">
        <v>193</v>
      </c>
      <c r="B99" t="s">
        <v>194</v>
      </c>
      <c r="C99" s="47">
        <v>1.9E-2</v>
      </c>
      <c r="D99">
        <v>120</v>
      </c>
      <c r="E99" t="s">
        <v>128</v>
      </c>
      <c r="F99" s="15">
        <v>2.2000000000000002</v>
      </c>
      <c r="G99">
        <v>30</v>
      </c>
      <c r="H99">
        <v>69</v>
      </c>
      <c r="I99" t="s">
        <v>374</v>
      </c>
      <c r="J99" t="s">
        <v>269</v>
      </c>
      <c r="K99">
        <f>Consulta1[[#This Row],[min_port]]/100</f>
        <v>1.6500000000000001E-2</v>
      </c>
      <c r="L99" s="47">
        <f>Consulta1[[#This Row],[TETO_COMERCIAL]]/100</f>
        <v>2.2000000000000002E-2</v>
      </c>
    </row>
    <row r="100" spans="1:12" x14ac:dyDescent="0.25">
      <c r="A100" t="s">
        <v>195</v>
      </c>
      <c r="B100" t="s">
        <v>376</v>
      </c>
      <c r="C100" s="47">
        <v>1.9E-2</v>
      </c>
      <c r="D100">
        <v>120</v>
      </c>
      <c r="E100" t="s">
        <v>128</v>
      </c>
      <c r="F100" s="15">
        <v>2.1</v>
      </c>
      <c r="G100">
        <v>10</v>
      </c>
      <c r="H100">
        <v>40</v>
      </c>
      <c r="I100" t="s">
        <v>377</v>
      </c>
      <c r="J100" t="s">
        <v>474</v>
      </c>
      <c r="K100">
        <f>Consulta1[[#This Row],[min_port]]/100</f>
        <v>1.3999999999999999E-2</v>
      </c>
      <c r="L100" s="47">
        <f>Consulta1[[#This Row],[TETO_COMERCIAL]]/100</f>
        <v>2.1000000000000001E-2</v>
      </c>
    </row>
    <row r="101" spans="1:12" x14ac:dyDescent="0.25">
      <c r="A101" t="s">
        <v>195</v>
      </c>
      <c r="B101" t="s">
        <v>196</v>
      </c>
      <c r="C101" s="47">
        <v>1.9E-2</v>
      </c>
      <c r="D101">
        <v>120</v>
      </c>
      <c r="E101" t="s">
        <v>128</v>
      </c>
      <c r="F101" s="15">
        <v>2.1</v>
      </c>
      <c r="G101">
        <v>10</v>
      </c>
      <c r="H101">
        <v>43</v>
      </c>
      <c r="I101" t="s">
        <v>375</v>
      </c>
      <c r="J101" t="s">
        <v>474</v>
      </c>
      <c r="K101">
        <f>Consulta1[[#This Row],[min_port]]/100</f>
        <v>1.3999999999999999E-2</v>
      </c>
      <c r="L101" s="47">
        <f>Consulta1[[#This Row],[TETO_COMERCIAL]]/100</f>
        <v>2.1000000000000001E-2</v>
      </c>
    </row>
    <row r="102" spans="1:12" x14ac:dyDescent="0.25">
      <c r="A102" t="s">
        <v>195</v>
      </c>
      <c r="B102" t="s">
        <v>497</v>
      </c>
      <c r="C102" s="47">
        <v>1.8000000000000002E-2</v>
      </c>
      <c r="D102">
        <v>120</v>
      </c>
      <c r="E102" t="s">
        <v>128</v>
      </c>
      <c r="F102" s="15">
        <v>2.1</v>
      </c>
      <c r="G102">
        <v>10</v>
      </c>
      <c r="H102">
        <v>46</v>
      </c>
      <c r="I102" t="s">
        <v>498</v>
      </c>
      <c r="J102" t="s">
        <v>474</v>
      </c>
      <c r="K102">
        <f>Consulta1[[#This Row],[min_port]]/100</f>
        <v>1.3999999999999999E-2</v>
      </c>
      <c r="L102" s="47">
        <f>Consulta1[[#This Row],[TETO_COMERCIAL]]/100</f>
        <v>2.1000000000000001E-2</v>
      </c>
    </row>
    <row r="103" spans="1:12" x14ac:dyDescent="0.25">
      <c r="A103" t="s">
        <v>197</v>
      </c>
      <c r="B103" t="s">
        <v>198</v>
      </c>
      <c r="C103" s="47">
        <v>2.3399999999999997E-2</v>
      </c>
      <c r="D103">
        <v>120</v>
      </c>
      <c r="E103" t="s">
        <v>128</v>
      </c>
      <c r="F103" s="15">
        <v>2.34</v>
      </c>
      <c r="G103">
        <v>10</v>
      </c>
      <c r="H103">
        <v>47</v>
      </c>
      <c r="I103" t="s">
        <v>386</v>
      </c>
      <c r="J103" t="s">
        <v>379</v>
      </c>
      <c r="K103">
        <f>Consulta1[[#This Row],[min_port]]/100</f>
        <v>1.29E-2</v>
      </c>
      <c r="L103" s="47">
        <f>Consulta1[[#This Row],[TETO_COMERCIAL]]/100</f>
        <v>2.3399999999999997E-2</v>
      </c>
    </row>
    <row r="104" spans="1:12" x14ac:dyDescent="0.25">
      <c r="A104" t="s">
        <v>197</v>
      </c>
      <c r="B104" t="s">
        <v>199</v>
      </c>
      <c r="C104" s="47">
        <v>2.2400000000000003E-2</v>
      </c>
      <c r="D104">
        <v>120</v>
      </c>
      <c r="E104" t="s">
        <v>128</v>
      </c>
      <c r="F104" s="15">
        <v>2.34</v>
      </c>
      <c r="G104">
        <v>10</v>
      </c>
      <c r="H104">
        <v>53</v>
      </c>
      <c r="I104" t="s">
        <v>385</v>
      </c>
      <c r="J104" t="s">
        <v>379</v>
      </c>
      <c r="K104">
        <f>Consulta1[[#This Row],[min_port]]/100</f>
        <v>1.29E-2</v>
      </c>
      <c r="L104" s="47">
        <f>Consulta1[[#This Row],[TETO_COMERCIAL]]/100</f>
        <v>2.3399999999999997E-2</v>
      </c>
    </row>
    <row r="105" spans="1:12" x14ac:dyDescent="0.25">
      <c r="A105" t="s">
        <v>197</v>
      </c>
      <c r="B105" t="s">
        <v>383</v>
      </c>
      <c r="C105" s="47">
        <v>2.1400000000000002E-2</v>
      </c>
      <c r="D105">
        <v>120</v>
      </c>
      <c r="E105" t="s">
        <v>128</v>
      </c>
      <c r="F105" s="15">
        <v>2.34</v>
      </c>
      <c r="G105">
        <v>10</v>
      </c>
      <c r="H105">
        <v>35</v>
      </c>
      <c r="I105" t="s">
        <v>384</v>
      </c>
      <c r="J105" t="s">
        <v>379</v>
      </c>
      <c r="K105">
        <f>Consulta1[[#This Row],[min_port]]/100</f>
        <v>1.29E-2</v>
      </c>
      <c r="L105" s="47">
        <f>Consulta1[[#This Row],[TETO_COMERCIAL]]/100</f>
        <v>2.3399999999999997E-2</v>
      </c>
    </row>
    <row r="106" spans="1:12" x14ac:dyDescent="0.25">
      <c r="A106" t="s">
        <v>197</v>
      </c>
      <c r="B106" t="s">
        <v>381</v>
      </c>
      <c r="C106" s="47">
        <v>2.0400000000000001E-2</v>
      </c>
      <c r="D106">
        <v>120</v>
      </c>
      <c r="E106" t="s">
        <v>128</v>
      </c>
      <c r="F106" s="15">
        <v>2.34</v>
      </c>
      <c r="G106">
        <v>10</v>
      </c>
      <c r="H106">
        <v>34</v>
      </c>
      <c r="I106" t="s">
        <v>382</v>
      </c>
      <c r="J106" t="s">
        <v>379</v>
      </c>
      <c r="K106">
        <f>Consulta1[[#This Row],[min_port]]/100</f>
        <v>1.29E-2</v>
      </c>
      <c r="L106" s="47">
        <f>Consulta1[[#This Row],[TETO_COMERCIAL]]/100</f>
        <v>2.3399999999999997E-2</v>
      </c>
    </row>
    <row r="107" spans="1:12" x14ac:dyDescent="0.25">
      <c r="A107" t="s">
        <v>197</v>
      </c>
      <c r="B107" t="s">
        <v>200</v>
      </c>
      <c r="C107" s="47">
        <v>1.9400000000000001E-2</v>
      </c>
      <c r="D107">
        <v>120</v>
      </c>
      <c r="E107" t="s">
        <v>128</v>
      </c>
      <c r="F107" s="15">
        <v>2.34</v>
      </c>
      <c r="G107">
        <v>10</v>
      </c>
      <c r="H107">
        <v>43</v>
      </c>
      <c r="I107" t="s">
        <v>380</v>
      </c>
      <c r="J107" t="s">
        <v>379</v>
      </c>
      <c r="K107">
        <f>Consulta1[[#This Row],[min_port]]/100</f>
        <v>1.29E-2</v>
      </c>
      <c r="L107" s="47">
        <f>Consulta1[[#This Row],[TETO_COMERCIAL]]/100</f>
        <v>2.3399999999999997E-2</v>
      </c>
    </row>
    <row r="108" spans="1:12" x14ac:dyDescent="0.25">
      <c r="A108" t="s">
        <v>197</v>
      </c>
      <c r="B108" t="s">
        <v>201</v>
      </c>
      <c r="C108" s="47">
        <v>1.84E-2</v>
      </c>
      <c r="D108">
        <v>120</v>
      </c>
      <c r="E108" t="s">
        <v>128</v>
      </c>
      <c r="F108" s="15">
        <v>2.34</v>
      </c>
      <c r="G108">
        <v>10</v>
      </c>
      <c r="H108">
        <v>44</v>
      </c>
      <c r="I108" t="s">
        <v>378</v>
      </c>
      <c r="J108" t="s">
        <v>379</v>
      </c>
      <c r="K108">
        <f>Consulta1[[#This Row],[min_port]]/100</f>
        <v>1.29E-2</v>
      </c>
      <c r="L108" s="47">
        <f>Consulta1[[#This Row],[TETO_COMERCIAL]]/100</f>
        <v>2.3399999999999997E-2</v>
      </c>
    </row>
    <row r="109" spans="1:12" x14ac:dyDescent="0.25">
      <c r="A109" t="s">
        <v>202</v>
      </c>
      <c r="B109" t="s">
        <v>203</v>
      </c>
      <c r="C109" s="47">
        <v>2.4500000000000001E-2</v>
      </c>
      <c r="D109">
        <v>96</v>
      </c>
      <c r="E109" t="s">
        <v>128</v>
      </c>
      <c r="F109" s="15">
        <v>2.4500000000000002</v>
      </c>
      <c r="G109">
        <v>25</v>
      </c>
      <c r="H109">
        <v>64</v>
      </c>
      <c r="I109" t="s">
        <v>387</v>
      </c>
      <c r="J109" t="s">
        <v>388</v>
      </c>
      <c r="K109">
        <f>Consulta1[[#This Row],[min_port]]/100</f>
        <v>2.2000000000000002E-2</v>
      </c>
      <c r="L109" s="47">
        <f>Consulta1[[#This Row],[TETO_COMERCIAL]]/100</f>
        <v>2.4500000000000001E-2</v>
      </c>
    </row>
    <row r="110" spans="1:12" x14ac:dyDescent="0.25">
      <c r="A110" t="s">
        <v>204</v>
      </c>
      <c r="B110" t="s">
        <v>205</v>
      </c>
      <c r="C110" s="47">
        <v>2.3E-2</v>
      </c>
      <c r="D110">
        <v>120</v>
      </c>
      <c r="E110" t="s">
        <v>128</v>
      </c>
      <c r="F110" s="15">
        <v>2.6</v>
      </c>
      <c r="G110">
        <v>20</v>
      </c>
      <c r="H110">
        <v>63</v>
      </c>
      <c r="I110" t="s">
        <v>390</v>
      </c>
      <c r="J110" t="s">
        <v>368</v>
      </c>
      <c r="K110">
        <f>Consulta1[[#This Row],[min_port]]/100</f>
        <v>1.9E-2</v>
      </c>
      <c r="L110" s="47">
        <f>Consulta1[[#This Row],[TETO_COMERCIAL]]/100</f>
        <v>2.6000000000000002E-2</v>
      </c>
    </row>
    <row r="111" spans="1:12" x14ac:dyDescent="0.25">
      <c r="A111" t="s">
        <v>204</v>
      </c>
      <c r="B111" t="s">
        <v>206</v>
      </c>
      <c r="C111" s="47">
        <v>2.3E-2</v>
      </c>
      <c r="D111">
        <v>120</v>
      </c>
      <c r="E111" t="s">
        <v>128</v>
      </c>
      <c r="F111" s="15">
        <v>2.6</v>
      </c>
      <c r="G111">
        <v>20</v>
      </c>
      <c r="H111">
        <v>41</v>
      </c>
      <c r="I111" t="s">
        <v>391</v>
      </c>
      <c r="J111" t="s">
        <v>368</v>
      </c>
      <c r="K111">
        <f>Consulta1[[#This Row],[min_port]]/100</f>
        <v>1.9E-2</v>
      </c>
      <c r="L111" s="47">
        <f>Consulta1[[#This Row],[TETO_COMERCIAL]]/100</f>
        <v>2.6000000000000002E-2</v>
      </c>
    </row>
    <row r="112" spans="1:12" x14ac:dyDescent="0.25">
      <c r="A112" t="s">
        <v>204</v>
      </c>
      <c r="B112" t="s">
        <v>207</v>
      </c>
      <c r="C112" s="47">
        <v>2.1499999999999998E-2</v>
      </c>
      <c r="D112">
        <v>120</v>
      </c>
      <c r="E112" t="s">
        <v>128</v>
      </c>
      <c r="F112" s="15">
        <v>2.6</v>
      </c>
      <c r="G112">
        <v>20</v>
      </c>
      <c r="H112">
        <v>46</v>
      </c>
      <c r="I112" t="s">
        <v>389</v>
      </c>
      <c r="J112" t="s">
        <v>368</v>
      </c>
      <c r="K112">
        <f>Consulta1[[#This Row],[min_port]]/100</f>
        <v>1.9E-2</v>
      </c>
      <c r="L112" s="47">
        <f>Consulta1[[#This Row],[TETO_COMERCIAL]]/100</f>
        <v>2.6000000000000002E-2</v>
      </c>
    </row>
    <row r="113" spans="1:12" x14ac:dyDescent="0.25">
      <c r="A113" t="s">
        <v>208</v>
      </c>
      <c r="B113" t="s">
        <v>209</v>
      </c>
      <c r="C113" s="47">
        <v>1.9900000000000001E-2</v>
      </c>
      <c r="D113">
        <v>84</v>
      </c>
      <c r="E113" t="s">
        <v>128</v>
      </c>
      <c r="F113" s="15">
        <v>2.19</v>
      </c>
      <c r="G113">
        <v>10</v>
      </c>
      <c r="H113">
        <v>49</v>
      </c>
      <c r="I113" t="s">
        <v>392</v>
      </c>
      <c r="J113" t="s">
        <v>393</v>
      </c>
      <c r="K113">
        <f>Consulta1[[#This Row],[min_port]]/100</f>
        <v>1.7399999999999999E-2</v>
      </c>
      <c r="L113" s="47">
        <f>Consulta1[[#This Row],[TETO_COMERCIAL]]/100</f>
        <v>2.1899999999999999E-2</v>
      </c>
    </row>
    <row r="114" spans="1:12" x14ac:dyDescent="0.25">
      <c r="A114" t="s">
        <v>210</v>
      </c>
      <c r="B114" t="s">
        <v>211</v>
      </c>
      <c r="C114" s="47">
        <v>2.2700000000000001E-2</v>
      </c>
      <c r="D114">
        <v>120</v>
      </c>
      <c r="E114" t="s">
        <v>128</v>
      </c>
      <c r="F114" s="15">
        <v>2.37</v>
      </c>
      <c r="G114">
        <v>10</v>
      </c>
      <c r="H114">
        <v>40</v>
      </c>
      <c r="I114" t="s">
        <v>397</v>
      </c>
      <c r="J114" t="s">
        <v>393</v>
      </c>
      <c r="K114">
        <f>Consulta1[[#This Row],[min_port]]/100</f>
        <v>1.7399999999999999E-2</v>
      </c>
      <c r="L114" s="47">
        <f>Consulta1[[#This Row],[TETO_COMERCIAL]]/100</f>
        <v>2.3700000000000002E-2</v>
      </c>
    </row>
    <row r="115" spans="1:12" x14ac:dyDescent="0.25">
      <c r="A115" t="s">
        <v>210</v>
      </c>
      <c r="B115" t="s">
        <v>212</v>
      </c>
      <c r="C115" s="47">
        <v>2.1700000000000001E-2</v>
      </c>
      <c r="D115">
        <v>120</v>
      </c>
      <c r="E115" t="s">
        <v>128</v>
      </c>
      <c r="F115" s="15">
        <v>2.37</v>
      </c>
      <c r="G115">
        <v>10</v>
      </c>
      <c r="H115">
        <v>48</v>
      </c>
      <c r="I115" t="s">
        <v>396</v>
      </c>
      <c r="J115" t="s">
        <v>393</v>
      </c>
      <c r="K115">
        <f>Consulta1[[#This Row],[min_port]]/100</f>
        <v>1.7399999999999999E-2</v>
      </c>
      <c r="L115" s="47">
        <f>Consulta1[[#This Row],[TETO_COMERCIAL]]/100</f>
        <v>2.3700000000000002E-2</v>
      </c>
    </row>
    <row r="116" spans="1:12" x14ac:dyDescent="0.25">
      <c r="A116" t="s">
        <v>210</v>
      </c>
      <c r="B116" t="s">
        <v>213</v>
      </c>
      <c r="C116" s="47">
        <v>2.07E-2</v>
      </c>
      <c r="D116">
        <v>120</v>
      </c>
      <c r="E116" t="s">
        <v>128</v>
      </c>
      <c r="F116" s="15">
        <v>2.37</v>
      </c>
      <c r="G116">
        <v>10</v>
      </c>
      <c r="H116">
        <v>51</v>
      </c>
      <c r="I116" t="s">
        <v>395</v>
      </c>
      <c r="J116" t="s">
        <v>393</v>
      </c>
      <c r="K116">
        <f>Consulta1[[#This Row],[min_port]]/100</f>
        <v>1.7399999999999999E-2</v>
      </c>
      <c r="L116" s="47">
        <f>Consulta1[[#This Row],[TETO_COMERCIAL]]/100</f>
        <v>2.3700000000000002E-2</v>
      </c>
    </row>
    <row r="117" spans="1:12" x14ac:dyDescent="0.25">
      <c r="A117" t="s">
        <v>210</v>
      </c>
      <c r="B117" t="s">
        <v>214</v>
      </c>
      <c r="C117" s="47">
        <v>1.9900000000000001E-2</v>
      </c>
      <c r="D117">
        <v>120</v>
      </c>
      <c r="E117" t="s">
        <v>128</v>
      </c>
      <c r="F117" s="15">
        <v>2.37</v>
      </c>
      <c r="G117">
        <v>10</v>
      </c>
      <c r="H117">
        <v>43</v>
      </c>
      <c r="I117" t="s">
        <v>394</v>
      </c>
      <c r="J117" t="s">
        <v>393</v>
      </c>
      <c r="K117">
        <f>Consulta1[[#This Row],[min_port]]/100</f>
        <v>1.7399999999999999E-2</v>
      </c>
      <c r="L117" s="47">
        <f>Consulta1[[#This Row],[TETO_COMERCIAL]]/100</f>
        <v>2.3700000000000002E-2</v>
      </c>
    </row>
    <row r="118" spans="1:12" x14ac:dyDescent="0.25">
      <c r="A118" t="s">
        <v>398</v>
      </c>
      <c r="B118" t="s">
        <v>399</v>
      </c>
      <c r="C118" s="47">
        <v>2.0899999999999998E-2</v>
      </c>
      <c r="D118">
        <v>120</v>
      </c>
      <c r="E118" t="s">
        <v>128</v>
      </c>
      <c r="F118" s="15">
        <v>2.19</v>
      </c>
      <c r="G118">
        <v>15</v>
      </c>
      <c r="H118">
        <v>33</v>
      </c>
      <c r="I118" t="s">
        <v>400</v>
      </c>
      <c r="J118" t="s">
        <v>258</v>
      </c>
      <c r="K118">
        <f>Consulta1[[#This Row],[min_port]]/100</f>
        <v>1.6399999999999998E-2</v>
      </c>
      <c r="L118" s="47">
        <f>Consulta1[[#This Row],[TETO_COMERCIAL]]/100</f>
        <v>2.1899999999999999E-2</v>
      </c>
    </row>
    <row r="119" spans="1:12" x14ac:dyDescent="0.25">
      <c r="A119" t="s">
        <v>401</v>
      </c>
      <c r="B119" t="s">
        <v>402</v>
      </c>
      <c r="C119" s="47">
        <v>1.8500000000000003E-2</v>
      </c>
      <c r="D119">
        <v>120</v>
      </c>
      <c r="E119" t="s">
        <v>128</v>
      </c>
      <c r="F119" s="15">
        <v>2.4</v>
      </c>
      <c r="G119">
        <v>20</v>
      </c>
      <c r="H119">
        <v>70</v>
      </c>
      <c r="I119" t="s">
        <v>403</v>
      </c>
      <c r="J119" t="s">
        <v>269</v>
      </c>
      <c r="K119">
        <f>Consulta1[[#This Row],[min_port]]/100</f>
        <v>1.6500000000000001E-2</v>
      </c>
      <c r="L119" s="47">
        <f>Consulta1[[#This Row],[TETO_COMERCIAL]]/100</f>
        <v>2.4E-2</v>
      </c>
    </row>
    <row r="120" spans="1:12" x14ac:dyDescent="0.25">
      <c r="A120" t="s">
        <v>215</v>
      </c>
      <c r="B120" t="s">
        <v>216</v>
      </c>
      <c r="C120" s="47">
        <v>2.5499999999999998E-2</v>
      </c>
      <c r="D120">
        <v>96</v>
      </c>
      <c r="E120" t="s">
        <v>128</v>
      </c>
      <c r="F120" s="15">
        <v>2.5</v>
      </c>
      <c r="G120">
        <v>20</v>
      </c>
      <c r="H120">
        <v>68</v>
      </c>
      <c r="I120" t="s">
        <v>407</v>
      </c>
      <c r="J120" t="s">
        <v>405</v>
      </c>
      <c r="K120">
        <f>Consulta1[[#This Row],[min_port]]/100</f>
        <v>2.1000000000000001E-2</v>
      </c>
      <c r="L120" s="47">
        <f>Consulta1[[#This Row],[TETO_COMERCIAL]]/100</f>
        <v>2.5000000000000001E-2</v>
      </c>
    </row>
    <row r="121" spans="1:12" x14ac:dyDescent="0.25">
      <c r="A121" t="s">
        <v>215</v>
      </c>
      <c r="B121" t="s">
        <v>217</v>
      </c>
      <c r="C121" s="47">
        <v>2.4500000000000001E-2</v>
      </c>
      <c r="D121">
        <v>96</v>
      </c>
      <c r="E121" t="s">
        <v>128</v>
      </c>
      <c r="F121" s="15">
        <v>2.5</v>
      </c>
      <c r="G121">
        <v>20</v>
      </c>
      <c r="H121">
        <v>61</v>
      </c>
      <c r="I121" t="s">
        <v>406</v>
      </c>
      <c r="J121" t="s">
        <v>405</v>
      </c>
      <c r="K121">
        <f>Consulta1[[#This Row],[min_port]]/100</f>
        <v>2.1000000000000001E-2</v>
      </c>
      <c r="L121" s="47">
        <f>Consulta1[[#This Row],[TETO_COMERCIAL]]/100</f>
        <v>2.5000000000000001E-2</v>
      </c>
    </row>
    <row r="122" spans="1:12" x14ac:dyDescent="0.25">
      <c r="A122" t="s">
        <v>215</v>
      </c>
      <c r="B122" t="s">
        <v>218</v>
      </c>
      <c r="C122" s="47">
        <v>2.35E-2</v>
      </c>
      <c r="D122">
        <v>96</v>
      </c>
      <c r="E122" t="s">
        <v>128</v>
      </c>
      <c r="F122" s="15">
        <v>2.5</v>
      </c>
      <c r="G122">
        <v>20</v>
      </c>
      <c r="H122">
        <v>63</v>
      </c>
      <c r="I122" t="s">
        <v>404</v>
      </c>
      <c r="J122" t="s">
        <v>405</v>
      </c>
      <c r="K122">
        <f>Consulta1[[#This Row],[min_port]]/100</f>
        <v>2.1000000000000001E-2</v>
      </c>
      <c r="L122" s="47">
        <f>Consulta1[[#This Row],[TETO_COMERCIAL]]/100</f>
        <v>2.5000000000000001E-2</v>
      </c>
    </row>
    <row r="123" spans="1:12" x14ac:dyDescent="0.25">
      <c r="A123" t="s">
        <v>408</v>
      </c>
      <c r="B123" t="s">
        <v>409</v>
      </c>
      <c r="C123" s="47">
        <v>2.2499999999999999E-2</v>
      </c>
      <c r="D123">
        <v>120</v>
      </c>
      <c r="E123" t="s">
        <v>128</v>
      </c>
      <c r="F123" s="15">
        <v>5</v>
      </c>
      <c r="G123">
        <v>20</v>
      </c>
      <c r="H123">
        <v>55</v>
      </c>
      <c r="I123" t="s">
        <v>410</v>
      </c>
      <c r="J123" t="s">
        <v>373</v>
      </c>
      <c r="K123">
        <f>Consulta1[[#This Row],[min_port]]/100</f>
        <v>0.02</v>
      </c>
      <c r="L123" s="47">
        <f>Consulta1[[#This Row],[TETO_COMERCIAL]]/100</f>
        <v>0.05</v>
      </c>
    </row>
    <row r="124" spans="1:12" x14ac:dyDescent="0.25">
      <c r="A124" t="s">
        <v>480</v>
      </c>
      <c r="B124" t="s">
        <v>481</v>
      </c>
      <c r="C124" s="47">
        <v>1.9900000000000001E-2</v>
      </c>
      <c r="D124">
        <v>120</v>
      </c>
      <c r="E124" t="s">
        <v>128</v>
      </c>
      <c r="F124" s="15">
        <v>2.19</v>
      </c>
      <c r="G124">
        <v>15</v>
      </c>
      <c r="H124">
        <v>41</v>
      </c>
      <c r="I124" t="s">
        <v>482</v>
      </c>
      <c r="J124" t="s">
        <v>393</v>
      </c>
      <c r="K124">
        <f>Consulta1[[#This Row],[min_port]]/100</f>
        <v>1.7399999999999999E-2</v>
      </c>
      <c r="L124" s="47">
        <f>Consulta1[[#This Row],[TETO_COMERCIAL]]/100</f>
        <v>2.1899999999999999E-2</v>
      </c>
    </row>
    <row r="125" spans="1:12" x14ac:dyDescent="0.25">
      <c r="A125" t="s">
        <v>219</v>
      </c>
      <c r="B125" t="s">
        <v>415</v>
      </c>
      <c r="C125" s="47">
        <v>2.0899999999999998E-2</v>
      </c>
      <c r="D125">
        <v>96</v>
      </c>
      <c r="E125" t="s">
        <v>128</v>
      </c>
      <c r="F125" s="15">
        <v>2.09</v>
      </c>
      <c r="G125">
        <v>15</v>
      </c>
      <c r="H125">
        <v>65</v>
      </c>
      <c r="I125" t="s">
        <v>416</v>
      </c>
      <c r="J125" t="s">
        <v>413</v>
      </c>
      <c r="K125">
        <f>Consulta1[[#This Row],[min_port]]/100</f>
        <v>1.67E-2</v>
      </c>
      <c r="L125" s="47">
        <f>Consulta1[[#This Row],[TETO_COMERCIAL]]/100</f>
        <v>2.0899999999999998E-2</v>
      </c>
    </row>
    <row r="126" spans="1:12" x14ac:dyDescent="0.25">
      <c r="A126" t="s">
        <v>219</v>
      </c>
      <c r="B126" t="s">
        <v>220</v>
      </c>
      <c r="C126" s="47">
        <v>1.9900000000000001E-2</v>
      </c>
      <c r="D126">
        <v>96</v>
      </c>
      <c r="E126" t="s">
        <v>128</v>
      </c>
      <c r="F126" s="15">
        <v>2.09</v>
      </c>
      <c r="G126">
        <v>15</v>
      </c>
      <c r="H126">
        <v>50</v>
      </c>
      <c r="I126" t="s">
        <v>414</v>
      </c>
      <c r="J126" t="s">
        <v>413</v>
      </c>
      <c r="K126">
        <f>Consulta1[[#This Row],[min_port]]/100</f>
        <v>1.67E-2</v>
      </c>
      <c r="L126" s="47">
        <f>Consulta1[[#This Row],[TETO_COMERCIAL]]/100</f>
        <v>2.0899999999999998E-2</v>
      </c>
    </row>
    <row r="127" spans="1:12" x14ac:dyDescent="0.25">
      <c r="A127" t="s">
        <v>219</v>
      </c>
      <c r="B127" t="s">
        <v>411</v>
      </c>
      <c r="C127" s="47">
        <v>1.9199999999999998E-2</v>
      </c>
      <c r="D127">
        <v>96</v>
      </c>
      <c r="E127" t="s">
        <v>128</v>
      </c>
      <c r="F127" s="15">
        <v>2.09</v>
      </c>
      <c r="G127">
        <v>15</v>
      </c>
      <c r="H127">
        <v>49</v>
      </c>
      <c r="I127" t="s">
        <v>412</v>
      </c>
      <c r="J127" t="s">
        <v>413</v>
      </c>
      <c r="K127">
        <f>Consulta1[[#This Row],[min_port]]/100</f>
        <v>1.67E-2</v>
      </c>
      <c r="L127" s="47">
        <f>Consulta1[[#This Row],[TETO_COMERCIAL]]/100</f>
        <v>2.0899999999999998E-2</v>
      </c>
    </row>
    <row r="128" spans="1:12" x14ac:dyDescent="0.25">
      <c r="A128" t="s">
        <v>221</v>
      </c>
      <c r="B128" t="s">
        <v>222</v>
      </c>
      <c r="C128" s="47">
        <v>1.95E-2</v>
      </c>
      <c r="D128">
        <v>120</v>
      </c>
      <c r="E128" t="s">
        <v>128</v>
      </c>
      <c r="F128" s="15">
        <v>1.95</v>
      </c>
      <c r="G128">
        <v>10</v>
      </c>
      <c r="H128">
        <v>44</v>
      </c>
      <c r="I128" t="s">
        <v>417</v>
      </c>
      <c r="J128" t="s">
        <v>269</v>
      </c>
      <c r="K128">
        <f>Consulta1[[#This Row],[min_port]]/100</f>
        <v>1.6500000000000001E-2</v>
      </c>
      <c r="L128" s="47">
        <f>Consulta1[[#This Row],[TETO_COMERCIAL]]/100</f>
        <v>1.95E-2</v>
      </c>
    </row>
    <row r="129" spans="1:12" x14ac:dyDescent="0.25">
      <c r="A129" t="s">
        <v>223</v>
      </c>
      <c r="B129" t="s">
        <v>428</v>
      </c>
      <c r="C129" s="47">
        <v>2.2000000000000002E-2</v>
      </c>
      <c r="D129">
        <v>120</v>
      </c>
      <c r="E129" t="s">
        <v>128</v>
      </c>
      <c r="F129" s="15">
        <v>2.2000000000000002</v>
      </c>
      <c r="G129">
        <v>10</v>
      </c>
      <c r="H129">
        <v>50</v>
      </c>
      <c r="I129" t="s">
        <v>429</v>
      </c>
      <c r="J129" t="s">
        <v>419</v>
      </c>
      <c r="K129">
        <f>Consulta1[[#This Row],[min_port]]/100</f>
        <v>1.5300000000000001E-2</v>
      </c>
      <c r="L129" s="47">
        <f>Consulta1[[#This Row],[TETO_COMERCIAL]]/100</f>
        <v>2.2000000000000002E-2</v>
      </c>
    </row>
    <row r="130" spans="1:12" x14ac:dyDescent="0.25">
      <c r="A130" t="s">
        <v>223</v>
      </c>
      <c r="B130" t="s">
        <v>426</v>
      </c>
      <c r="C130" s="47">
        <v>0.02</v>
      </c>
      <c r="D130">
        <v>120</v>
      </c>
      <c r="E130" t="s">
        <v>128</v>
      </c>
      <c r="F130" s="15">
        <v>2.2000000000000002</v>
      </c>
      <c r="G130">
        <v>10</v>
      </c>
      <c r="H130">
        <v>50</v>
      </c>
      <c r="I130" t="s">
        <v>427</v>
      </c>
      <c r="J130" t="s">
        <v>419</v>
      </c>
      <c r="K130">
        <f>Consulta1[[#This Row],[min_port]]/100</f>
        <v>1.5300000000000001E-2</v>
      </c>
      <c r="L130" s="47">
        <f>Consulta1[[#This Row],[TETO_COMERCIAL]]/100</f>
        <v>2.2000000000000002E-2</v>
      </c>
    </row>
    <row r="131" spans="1:12" x14ac:dyDescent="0.25">
      <c r="A131" t="s">
        <v>223</v>
      </c>
      <c r="B131" t="s">
        <v>224</v>
      </c>
      <c r="C131" s="47">
        <v>1.9E-2</v>
      </c>
      <c r="D131">
        <v>120</v>
      </c>
      <c r="E131" t="s">
        <v>128</v>
      </c>
      <c r="F131" s="15">
        <v>2.2000000000000002</v>
      </c>
      <c r="G131">
        <v>10</v>
      </c>
      <c r="H131">
        <v>50</v>
      </c>
      <c r="I131" t="s">
        <v>425</v>
      </c>
      <c r="J131" t="s">
        <v>419</v>
      </c>
      <c r="K131">
        <f>Consulta1[[#This Row],[min_port]]/100</f>
        <v>1.5300000000000001E-2</v>
      </c>
      <c r="L131" s="47">
        <f>Consulta1[[#This Row],[TETO_COMERCIAL]]/100</f>
        <v>2.2000000000000002E-2</v>
      </c>
    </row>
    <row r="132" spans="1:12" x14ac:dyDescent="0.25">
      <c r="A132" t="s">
        <v>223</v>
      </c>
      <c r="B132" t="s">
        <v>225</v>
      </c>
      <c r="C132" s="47">
        <v>1.8500000000000003E-2</v>
      </c>
      <c r="D132">
        <v>120</v>
      </c>
      <c r="E132" t="s">
        <v>128</v>
      </c>
      <c r="F132" s="15">
        <v>2.2000000000000002</v>
      </c>
      <c r="G132">
        <v>10</v>
      </c>
      <c r="H132">
        <v>50</v>
      </c>
      <c r="I132" t="s">
        <v>423</v>
      </c>
      <c r="J132" t="s">
        <v>419</v>
      </c>
      <c r="K132">
        <f>Consulta1[[#This Row],[min_port]]/100</f>
        <v>1.5300000000000001E-2</v>
      </c>
      <c r="L132" s="47">
        <f>Consulta1[[#This Row],[TETO_COMERCIAL]]/100</f>
        <v>2.2000000000000002E-2</v>
      </c>
    </row>
    <row r="133" spans="1:12" x14ac:dyDescent="0.25">
      <c r="A133" t="s">
        <v>223</v>
      </c>
      <c r="B133" t="s">
        <v>226</v>
      </c>
      <c r="C133" s="47">
        <v>1.8500000000000003E-2</v>
      </c>
      <c r="D133">
        <v>120</v>
      </c>
      <c r="E133" t="s">
        <v>128</v>
      </c>
      <c r="F133" s="15">
        <v>2.2000000000000002</v>
      </c>
      <c r="G133">
        <v>10</v>
      </c>
      <c r="H133">
        <v>50</v>
      </c>
      <c r="I133" t="s">
        <v>424</v>
      </c>
      <c r="J133" t="s">
        <v>419</v>
      </c>
      <c r="K133">
        <f>Consulta1[[#This Row],[min_port]]/100</f>
        <v>1.5300000000000001E-2</v>
      </c>
      <c r="L133" s="47">
        <f>Consulta1[[#This Row],[TETO_COMERCIAL]]/100</f>
        <v>2.2000000000000002E-2</v>
      </c>
    </row>
    <row r="134" spans="1:12" x14ac:dyDescent="0.25">
      <c r="A134" t="s">
        <v>223</v>
      </c>
      <c r="B134" t="s">
        <v>227</v>
      </c>
      <c r="C134" s="47">
        <v>1.8000000000000002E-2</v>
      </c>
      <c r="D134">
        <v>120</v>
      </c>
      <c r="E134" t="s">
        <v>128</v>
      </c>
      <c r="F134" s="15">
        <v>2.2000000000000002</v>
      </c>
      <c r="G134">
        <v>10</v>
      </c>
      <c r="H134">
        <v>50</v>
      </c>
      <c r="I134" t="s">
        <v>421</v>
      </c>
      <c r="J134" t="s">
        <v>419</v>
      </c>
      <c r="K134">
        <f>Consulta1[[#This Row],[min_port]]/100</f>
        <v>1.5300000000000001E-2</v>
      </c>
      <c r="L134" s="47">
        <f>Consulta1[[#This Row],[TETO_COMERCIAL]]/100</f>
        <v>2.2000000000000002E-2</v>
      </c>
    </row>
    <row r="135" spans="1:12" x14ac:dyDescent="0.25">
      <c r="A135" t="s">
        <v>223</v>
      </c>
      <c r="B135" t="s">
        <v>228</v>
      </c>
      <c r="C135" s="47">
        <v>1.8000000000000002E-2</v>
      </c>
      <c r="D135">
        <v>120</v>
      </c>
      <c r="E135" t="s">
        <v>128</v>
      </c>
      <c r="F135" s="15">
        <v>2.2000000000000002</v>
      </c>
      <c r="G135">
        <v>10</v>
      </c>
      <c r="H135">
        <v>50</v>
      </c>
      <c r="I135" t="s">
        <v>422</v>
      </c>
      <c r="J135" t="s">
        <v>419</v>
      </c>
      <c r="K135">
        <f>Consulta1[[#This Row],[min_port]]/100</f>
        <v>1.5300000000000001E-2</v>
      </c>
      <c r="L135" s="47">
        <f>Consulta1[[#This Row],[TETO_COMERCIAL]]/100</f>
        <v>2.2000000000000002E-2</v>
      </c>
    </row>
    <row r="136" spans="1:12" x14ac:dyDescent="0.25">
      <c r="A136" t="s">
        <v>223</v>
      </c>
      <c r="B136" t="s">
        <v>229</v>
      </c>
      <c r="C136" s="47">
        <v>1.78E-2</v>
      </c>
      <c r="D136">
        <v>120</v>
      </c>
      <c r="E136" t="s">
        <v>128</v>
      </c>
      <c r="F136" s="15">
        <v>2.2000000000000002</v>
      </c>
      <c r="G136">
        <v>10</v>
      </c>
      <c r="H136">
        <v>50</v>
      </c>
      <c r="I136" t="s">
        <v>418</v>
      </c>
      <c r="J136" t="s">
        <v>419</v>
      </c>
      <c r="K136">
        <f>Consulta1[[#This Row],[min_port]]/100</f>
        <v>1.5300000000000001E-2</v>
      </c>
      <c r="L136" s="47">
        <f>Consulta1[[#This Row],[TETO_COMERCIAL]]/100</f>
        <v>2.2000000000000002E-2</v>
      </c>
    </row>
    <row r="137" spans="1:12" x14ac:dyDescent="0.25">
      <c r="A137" t="s">
        <v>223</v>
      </c>
      <c r="B137" t="s">
        <v>230</v>
      </c>
      <c r="C137" s="47">
        <v>1.78E-2</v>
      </c>
      <c r="D137">
        <v>120</v>
      </c>
      <c r="E137" t="s">
        <v>128</v>
      </c>
      <c r="F137" s="15">
        <v>2.2000000000000002</v>
      </c>
      <c r="G137">
        <v>10</v>
      </c>
      <c r="H137">
        <v>50</v>
      </c>
      <c r="I137" t="s">
        <v>420</v>
      </c>
      <c r="J137" t="s">
        <v>419</v>
      </c>
      <c r="K137">
        <f>Consulta1[[#This Row],[min_port]]/100</f>
        <v>1.5300000000000001E-2</v>
      </c>
      <c r="L137" s="47">
        <f>Consulta1[[#This Row],[TETO_COMERCIAL]]/100</f>
        <v>2.2000000000000002E-2</v>
      </c>
    </row>
    <row r="138" spans="1:12" x14ac:dyDescent="0.25">
      <c r="A138" t="s">
        <v>499</v>
      </c>
      <c r="B138" t="s">
        <v>500</v>
      </c>
      <c r="C138" s="47">
        <v>1.8500000000000003E-2</v>
      </c>
      <c r="D138">
        <v>120</v>
      </c>
      <c r="E138" t="s">
        <v>128</v>
      </c>
      <c r="F138" s="15">
        <v>2</v>
      </c>
      <c r="G138">
        <v>15</v>
      </c>
      <c r="H138">
        <v>61</v>
      </c>
      <c r="I138" t="s">
        <v>501</v>
      </c>
      <c r="J138" t="s">
        <v>430</v>
      </c>
      <c r="K138">
        <f>Consulta1[[#This Row],[min_port]]/100</f>
        <v>1.6E-2</v>
      </c>
      <c r="L138" s="47">
        <f>Consulta1[[#This Row],[TETO_COMERCIAL]]/100</f>
        <v>0.02</v>
      </c>
    </row>
    <row r="139" spans="1:12" x14ac:dyDescent="0.25">
      <c r="A139" t="s">
        <v>502</v>
      </c>
      <c r="B139" t="s">
        <v>503</v>
      </c>
      <c r="C139" s="47">
        <v>1.9599999999999999E-2</v>
      </c>
      <c r="D139">
        <v>120</v>
      </c>
      <c r="E139" t="s">
        <v>128</v>
      </c>
      <c r="F139" s="15">
        <v>2.1</v>
      </c>
      <c r="G139">
        <v>15</v>
      </c>
      <c r="H139">
        <v>50</v>
      </c>
      <c r="I139" t="s">
        <v>504</v>
      </c>
      <c r="J139" t="s">
        <v>505</v>
      </c>
      <c r="K139">
        <f>Consulta1[[#This Row],[min_port]]/100</f>
        <v>1.7100000000000001E-2</v>
      </c>
      <c r="L139" s="47">
        <f>Consulta1[[#This Row],[TETO_COMERCIAL]]/100</f>
        <v>2.1000000000000001E-2</v>
      </c>
    </row>
    <row r="140" spans="1:12" x14ac:dyDescent="0.25">
      <c r="A140" t="s">
        <v>95</v>
      </c>
      <c r="B140" t="s">
        <v>119</v>
      </c>
      <c r="C140" s="47">
        <v>1.95E-2</v>
      </c>
      <c r="D140">
        <v>96</v>
      </c>
      <c r="E140" t="s">
        <v>128</v>
      </c>
      <c r="F140" s="15">
        <v>1.95</v>
      </c>
      <c r="G140">
        <v>15</v>
      </c>
      <c r="H140">
        <v>57</v>
      </c>
      <c r="I140" t="s">
        <v>435</v>
      </c>
      <c r="J140" t="s">
        <v>432</v>
      </c>
      <c r="K140">
        <f>Consulta1[[#This Row],[min_port]]/100</f>
        <v>1.1899999999999999E-2</v>
      </c>
      <c r="L140" s="47">
        <f>Consulta1[[#This Row],[TETO_COMERCIAL]]/100</f>
        <v>1.95E-2</v>
      </c>
    </row>
    <row r="141" spans="1:12" x14ac:dyDescent="0.25">
      <c r="A141" t="s">
        <v>95</v>
      </c>
      <c r="B141" t="s">
        <v>120</v>
      </c>
      <c r="C141" s="47">
        <v>1.8500000000000003E-2</v>
      </c>
      <c r="D141">
        <v>96</v>
      </c>
      <c r="E141" t="s">
        <v>128</v>
      </c>
      <c r="F141" s="15">
        <v>1.95</v>
      </c>
      <c r="G141">
        <v>15</v>
      </c>
      <c r="H141">
        <v>57</v>
      </c>
      <c r="I141" t="s">
        <v>434</v>
      </c>
      <c r="J141" t="s">
        <v>432</v>
      </c>
      <c r="K141">
        <f>Consulta1[[#This Row],[min_port]]/100</f>
        <v>1.1899999999999999E-2</v>
      </c>
      <c r="L141" s="47">
        <f>Consulta1[[#This Row],[TETO_COMERCIAL]]/100</f>
        <v>1.95E-2</v>
      </c>
    </row>
    <row r="142" spans="1:12" x14ac:dyDescent="0.25">
      <c r="A142" t="s">
        <v>95</v>
      </c>
      <c r="B142" t="s">
        <v>121</v>
      </c>
      <c r="C142" s="47">
        <v>1.7399999999999999E-2</v>
      </c>
      <c r="D142">
        <v>96</v>
      </c>
      <c r="E142" t="s">
        <v>128</v>
      </c>
      <c r="F142" s="15">
        <v>1.95</v>
      </c>
      <c r="G142">
        <v>15</v>
      </c>
      <c r="H142">
        <v>57</v>
      </c>
      <c r="I142" t="s">
        <v>433</v>
      </c>
      <c r="J142" t="s">
        <v>432</v>
      </c>
      <c r="K142">
        <f>Consulta1[[#This Row],[min_port]]/100</f>
        <v>1.1899999999999999E-2</v>
      </c>
      <c r="L142" s="47">
        <f>Consulta1[[#This Row],[TETO_COMERCIAL]]/100</f>
        <v>1.95E-2</v>
      </c>
    </row>
    <row r="143" spans="1:12" x14ac:dyDescent="0.25">
      <c r="A143" t="s">
        <v>95</v>
      </c>
      <c r="B143" t="s">
        <v>122</v>
      </c>
      <c r="C143" s="47">
        <v>1.6899999999999998E-2</v>
      </c>
      <c r="D143">
        <v>96</v>
      </c>
      <c r="E143" t="s">
        <v>128</v>
      </c>
      <c r="F143" s="15">
        <v>1.95</v>
      </c>
      <c r="G143">
        <v>15</v>
      </c>
      <c r="H143">
        <v>57</v>
      </c>
      <c r="I143" t="s">
        <v>431</v>
      </c>
      <c r="J143" t="s">
        <v>432</v>
      </c>
      <c r="K143">
        <f>Consulta1[[#This Row],[min_port]]/100</f>
        <v>1.1899999999999999E-2</v>
      </c>
      <c r="L143" s="47">
        <f>Consulta1[[#This Row],[TETO_COMERCIAL]]/100</f>
        <v>1.95E-2</v>
      </c>
    </row>
    <row r="144" spans="1:12" x14ac:dyDescent="0.25">
      <c r="A144" t="s">
        <v>436</v>
      </c>
      <c r="B144" t="s">
        <v>439</v>
      </c>
      <c r="C144" s="47">
        <v>1.9900000000000001E-2</v>
      </c>
      <c r="D144">
        <v>96</v>
      </c>
      <c r="E144" t="s">
        <v>128</v>
      </c>
      <c r="F144" s="15">
        <v>2.4</v>
      </c>
      <c r="G144">
        <v>10</v>
      </c>
      <c r="H144">
        <v>87</v>
      </c>
      <c r="I144" t="s">
        <v>440</v>
      </c>
      <c r="J144" t="s">
        <v>430</v>
      </c>
      <c r="K144">
        <f>Consulta1[[#This Row],[min_port]]/100</f>
        <v>1.6E-2</v>
      </c>
      <c r="L144" s="47">
        <f>Consulta1[[#This Row],[TETO_COMERCIAL]]/100</f>
        <v>2.4E-2</v>
      </c>
    </row>
    <row r="145" spans="1:12" x14ac:dyDescent="0.25">
      <c r="A145" t="s">
        <v>436</v>
      </c>
      <c r="B145" t="s">
        <v>437</v>
      </c>
      <c r="C145" s="47">
        <v>1.89E-2</v>
      </c>
      <c r="D145">
        <v>96</v>
      </c>
      <c r="E145" t="s">
        <v>128</v>
      </c>
      <c r="F145" s="15">
        <v>2.4</v>
      </c>
      <c r="G145">
        <v>10</v>
      </c>
      <c r="H145">
        <v>86</v>
      </c>
      <c r="I145" t="s">
        <v>438</v>
      </c>
      <c r="J145" t="s">
        <v>430</v>
      </c>
      <c r="K145">
        <f>Consulta1[[#This Row],[min_port]]/100</f>
        <v>1.6E-2</v>
      </c>
      <c r="L145" s="47">
        <f>Consulta1[[#This Row],[TETO_COMERCIAL]]/100</f>
        <v>2.4E-2</v>
      </c>
    </row>
    <row r="146" spans="1:12" x14ac:dyDescent="0.25">
      <c r="A146" t="s">
        <v>506</v>
      </c>
      <c r="B146" t="s">
        <v>507</v>
      </c>
      <c r="C146" s="47">
        <v>2.4900000000000002E-2</v>
      </c>
      <c r="D146">
        <v>96</v>
      </c>
      <c r="E146" t="s">
        <v>128</v>
      </c>
      <c r="F146" s="15">
        <v>2.48</v>
      </c>
      <c r="G146">
        <v>10</v>
      </c>
      <c r="H146">
        <v>50</v>
      </c>
      <c r="I146" t="s">
        <v>508</v>
      </c>
      <c r="J146" t="s">
        <v>509</v>
      </c>
      <c r="K146">
        <f>Consulta1[[#This Row],[min_port]]/100</f>
        <v>1.7299999999999999E-2</v>
      </c>
      <c r="L146" s="47">
        <f>Consulta1[[#This Row],[TETO_COMERCIAL]]/100</f>
        <v>2.4799999999999999E-2</v>
      </c>
    </row>
    <row r="147" spans="1:12" x14ac:dyDescent="0.25">
      <c r="A147" t="s">
        <v>506</v>
      </c>
      <c r="B147" t="s">
        <v>510</v>
      </c>
      <c r="C147" s="47">
        <v>2.3900000000000001E-2</v>
      </c>
      <c r="D147">
        <v>96</v>
      </c>
      <c r="E147" t="s">
        <v>128</v>
      </c>
      <c r="F147" s="15">
        <v>2.48</v>
      </c>
      <c r="G147">
        <v>10</v>
      </c>
      <c r="H147">
        <v>50</v>
      </c>
      <c r="I147" t="s">
        <v>511</v>
      </c>
      <c r="J147" t="s">
        <v>509</v>
      </c>
      <c r="K147">
        <f>Consulta1[[#This Row],[min_port]]/100</f>
        <v>1.7299999999999999E-2</v>
      </c>
      <c r="L147" s="47">
        <f>Consulta1[[#This Row],[TETO_COMERCIAL]]/100</f>
        <v>2.4799999999999999E-2</v>
      </c>
    </row>
    <row r="148" spans="1:12" x14ac:dyDescent="0.25">
      <c r="A148" t="s">
        <v>506</v>
      </c>
      <c r="B148" t="s">
        <v>512</v>
      </c>
      <c r="C148" s="47">
        <v>2.29E-2</v>
      </c>
      <c r="D148">
        <v>96</v>
      </c>
      <c r="E148" t="s">
        <v>128</v>
      </c>
      <c r="F148" s="15">
        <v>2.48</v>
      </c>
      <c r="G148">
        <v>10</v>
      </c>
      <c r="H148">
        <v>50</v>
      </c>
      <c r="I148" t="s">
        <v>513</v>
      </c>
      <c r="J148" t="s">
        <v>509</v>
      </c>
      <c r="K148">
        <f>Consulta1[[#This Row],[min_port]]/100</f>
        <v>1.7299999999999999E-2</v>
      </c>
      <c r="L148" s="47">
        <f>Consulta1[[#This Row],[TETO_COMERCIAL]]/100</f>
        <v>2.4799999999999999E-2</v>
      </c>
    </row>
    <row r="149" spans="1:12" x14ac:dyDescent="0.25">
      <c r="A149" t="s">
        <v>506</v>
      </c>
      <c r="B149" t="s">
        <v>514</v>
      </c>
      <c r="C149" s="47">
        <v>2.1899999999999999E-2</v>
      </c>
      <c r="D149">
        <v>96</v>
      </c>
      <c r="E149" t="s">
        <v>128</v>
      </c>
      <c r="F149" s="15">
        <v>2.48</v>
      </c>
      <c r="G149">
        <v>10</v>
      </c>
      <c r="H149">
        <v>50</v>
      </c>
      <c r="I149" t="s">
        <v>515</v>
      </c>
      <c r="J149" t="s">
        <v>509</v>
      </c>
      <c r="K149">
        <f>Consulta1[[#This Row],[min_port]]/100</f>
        <v>1.7299999999999999E-2</v>
      </c>
      <c r="L149" s="47">
        <f>Consulta1[[#This Row],[TETO_COMERCIAL]]/100</f>
        <v>2.4799999999999999E-2</v>
      </c>
    </row>
    <row r="150" spans="1:12" x14ac:dyDescent="0.25">
      <c r="A150" t="s">
        <v>506</v>
      </c>
      <c r="B150" t="s">
        <v>516</v>
      </c>
      <c r="C150" s="47">
        <v>2.0899999999999998E-2</v>
      </c>
      <c r="D150">
        <v>96</v>
      </c>
      <c r="E150" t="s">
        <v>128</v>
      </c>
      <c r="F150" s="15">
        <v>2.48</v>
      </c>
      <c r="G150">
        <v>10</v>
      </c>
      <c r="H150">
        <v>50</v>
      </c>
      <c r="I150" t="s">
        <v>517</v>
      </c>
      <c r="J150" t="s">
        <v>509</v>
      </c>
      <c r="K150">
        <f>Consulta1[[#This Row],[min_port]]/100</f>
        <v>1.7299999999999999E-2</v>
      </c>
      <c r="L150" s="47">
        <f>Consulta1[[#This Row],[TETO_COMERCIAL]]/100</f>
        <v>2.4799999999999999E-2</v>
      </c>
    </row>
    <row r="151" spans="1:12" x14ac:dyDescent="0.25">
      <c r="A151" t="s">
        <v>506</v>
      </c>
      <c r="B151" t="s">
        <v>518</v>
      </c>
      <c r="C151" s="47">
        <v>1.9900000000000001E-2</v>
      </c>
      <c r="D151">
        <v>96</v>
      </c>
      <c r="E151" t="s">
        <v>128</v>
      </c>
      <c r="F151" s="15">
        <v>2.48</v>
      </c>
      <c r="G151">
        <v>10</v>
      </c>
      <c r="H151">
        <v>50</v>
      </c>
      <c r="I151" t="s">
        <v>519</v>
      </c>
      <c r="J151" t="s">
        <v>509</v>
      </c>
      <c r="K151">
        <f>Consulta1[[#This Row],[min_port]]/100</f>
        <v>1.7299999999999999E-2</v>
      </c>
      <c r="L151" s="47">
        <f>Consulta1[[#This Row],[TETO_COMERCIAL]]/100</f>
        <v>2.4799999999999999E-2</v>
      </c>
    </row>
    <row r="152" spans="1:12" x14ac:dyDescent="0.25">
      <c r="A152" t="s">
        <v>231</v>
      </c>
      <c r="B152" t="s">
        <v>232</v>
      </c>
      <c r="C152" s="47">
        <v>2.23E-2</v>
      </c>
      <c r="D152">
        <v>120</v>
      </c>
      <c r="E152" t="s">
        <v>128</v>
      </c>
      <c r="F152" s="15"/>
      <c r="G152">
        <v>25</v>
      </c>
      <c r="H152">
        <v>67</v>
      </c>
      <c r="I152" t="s">
        <v>441</v>
      </c>
      <c r="K152">
        <f>Consulta1[[#This Row],[min_port]]/100</f>
        <v>0</v>
      </c>
      <c r="L152" s="47">
        <f>Consulta1[[#This Row],[TETO_COMERCIAL]]/100</f>
        <v>0</v>
      </c>
    </row>
    <row r="153" spans="1:12" x14ac:dyDescent="0.25">
      <c r="A153" t="s">
        <v>233</v>
      </c>
      <c r="B153" t="s">
        <v>234</v>
      </c>
      <c r="C153" s="47">
        <v>2.1499999999999998E-2</v>
      </c>
      <c r="D153">
        <v>120</v>
      </c>
      <c r="E153" t="s">
        <v>128</v>
      </c>
      <c r="F153" s="15">
        <v>2.4</v>
      </c>
      <c r="G153">
        <v>25</v>
      </c>
      <c r="H153">
        <v>67</v>
      </c>
      <c r="I153" t="s">
        <v>443</v>
      </c>
      <c r="J153" t="s">
        <v>303</v>
      </c>
      <c r="K153">
        <f>Consulta1[[#This Row],[min_port]]/100</f>
        <v>1.7500000000000002E-2</v>
      </c>
      <c r="L153" s="47">
        <f>Consulta1[[#This Row],[TETO_COMERCIAL]]/100</f>
        <v>2.4E-2</v>
      </c>
    </row>
    <row r="154" spans="1:12" x14ac:dyDescent="0.25">
      <c r="A154" t="s">
        <v>233</v>
      </c>
      <c r="B154" t="s">
        <v>235</v>
      </c>
      <c r="C154" s="47">
        <v>0.02</v>
      </c>
      <c r="D154">
        <v>120</v>
      </c>
      <c r="E154" t="s">
        <v>128</v>
      </c>
      <c r="F154" s="15">
        <v>2.4</v>
      </c>
      <c r="G154">
        <v>25</v>
      </c>
      <c r="H154">
        <v>64</v>
      </c>
      <c r="I154" t="s">
        <v>442</v>
      </c>
      <c r="J154" t="s">
        <v>303</v>
      </c>
      <c r="K154">
        <f>Consulta1[[#This Row],[min_port]]/100</f>
        <v>1.7500000000000002E-2</v>
      </c>
      <c r="L154" s="47">
        <f>Consulta1[[#This Row],[TETO_COMERCIAL]]/100</f>
        <v>2.4E-2</v>
      </c>
    </row>
    <row r="155" spans="1:12" x14ac:dyDescent="0.25">
      <c r="A155" t="s">
        <v>236</v>
      </c>
      <c r="B155" t="s">
        <v>237</v>
      </c>
      <c r="C155" s="47">
        <v>1.8100000000000002E-2</v>
      </c>
      <c r="D155">
        <v>120</v>
      </c>
      <c r="E155" t="s">
        <v>128</v>
      </c>
      <c r="F155" s="15">
        <v>2.31</v>
      </c>
      <c r="G155">
        <v>20</v>
      </c>
      <c r="H155">
        <v>54</v>
      </c>
      <c r="I155" t="s">
        <v>444</v>
      </c>
      <c r="J155" t="s">
        <v>445</v>
      </c>
      <c r="K155">
        <f>Consulta1[[#This Row],[min_port]]/100</f>
        <v>1.5600000000000001E-2</v>
      </c>
      <c r="L155" s="47">
        <f>Consulta1[[#This Row],[TETO_COMERCIAL]]/100</f>
        <v>2.3099999999999999E-2</v>
      </c>
    </row>
    <row r="156" spans="1:12" x14ac:dyDescent="0.25">
      <c r="A156" t="s">
        <v>99</v>
      </c>
      <c r="B156" t="s">
        <v>106</v>
      </c>
      <c r="C156" s="47">
        <v>2.1499999999999998E-2</v>
      </c>
      <c r="D156">
        <v>120</v>
      </c>
      <c r="E156" t="s">
        <v>128</v>
      </c>
      <c r="F156" s="15">
        <v>2.4</v>
      </c>
      <c r="G156">
        <v>7</v>
      </c>
      <c r="H156">
        <v>44</v>
      </c>
      <c r="I156" t="s">
        <v>450</v>
      </c>
      <c r="J156" t="s">
        <v>447</v>
      </c>
      <c r="K156">
        <f>Consulta1[[#This Row],[min_port]]/100</f>
        <v>1.34E-2</v>
      </c>
      <c r="L156" s="47">
        <f>Consulta1[[#This Row],[TETO_COMERCIAL]]/100</f>
        <v>2.4E-2</v>
      </c>
    </row>
    <row r="157" spans="1:12" x14ac:dyDescent="0.25">
      <c r="A157" t="s">
        <v>99</v>
      </c>
      <c r="B157" t="s">
        <v>107</v>
      </c>
      <c r="C157" s="47">
        <v>2.0499999999999997E-2</v>
      </c>
      <c r="D157">
        <v>120</v>
      </c>
      <c r="E157" t="s">
        <v>128</v>
      </c>
      <c r="F157" s="15">
        <v>2.4</v>
      </c>
      <c r="G157">
        <v>7</v>
      </c>
      <c r="H157">
        <v>44</v>
      </c>
      <c r="I157" t="s">
        <v>449</v>
      </c>
      <c r="J157" t="s">
        <v>447</v>
      </c>
      <c r="K157">
        <f>Consulta1[[#This Row],[min_port]]/100</f>
        <v>1.34E-2</v>
      </c>
      <c r="L157" s="47">
        <f>Consulta1[[#This Row],[TETO_COMERCIAL]]/100</f>
        <v>2.4E-2</v>
      </c>
    </row>
    <row r="158" spans="1:12" x14ac:dyDescent="0.25">
      <c r="A158" t="s">
        <v>99</v>
      </c>
      <c r="B158" t="s">
        <v>108</v>
      </c>
      <c r="C158" s="47">
        <v>1.9400000000000001E-2</v>
      </c>
      <c r="D158">
        <v>120</v>
      </c>
      <c r="E158" t="s">
        <v>128</v>
      </c>
      <c r="F158" s="15">
        <v>2.4</v>
      </c>
      <c r="G158">
        <v>7</v>
      </c>
      <c r="H158">
        <v>43</v>
      </c>
      <c r="I158" t="s">
        <v>448</v>
      </c>
      <c r="J158" t="s">
        <v>447</v>
      </c>
      <c r="K158">
        <f>Consulta1[[#This Row],[min_port]]/100</f>
        <v>1.34E-2</v>
      </c>
      <c r="L158" s="47">
        <f>Consulta1[[#This Row],[TETO_COMERCIAL]]/100</f>
        <v>2.4E-2</v>
      </c>
    </row>
    <row r="159" spans="1:12" x14ac:dyDescent="0.25">
      <c r="A159" t="s">
        <v>99</v>
      </c>
      <c r="B159" t="s">
        <v>109</v>
      </c>
      <c r="C159" s="47">
        <v>1.7899999999999999E-2</v>
      </c>
      <c r="D159">
        <v>120</v>
      </c>
      <c r="E159" t="s">
        <v>128</v>
      </c>
      <c r="F159" s="15">
        <v>2.4</v>
      </c>
      <c r="G159">
        <v>7</v>
      </c>
      <c r="H159">
        <v>44</v>
      </c>
      <c r="I159" t="s">
        <v>446</v>
      </c>
      <c r="J159" t="s">
        <v>447</v>
      </c>
      <c r="K159">
        <f>Consulta1[[#This Row],[min_port]]/100</f>
        <v>1.34E-2</v>
      </c>
      <c r="L159" s="47">
        <f>Consulta1[[#This Row],[TETO_COMERCIAL]]/100</f>
        <v>2.4E-2</v>
      </c>
    </row>
    <row r="160" spans="1:12" x14ac:dyDescent="0.25">
      <c r="A160" t="s">
        <v>238</v>
      </c>
      <c r="B160" t="s">
        <v>81</v>
      </c>
      <c r="C160" s="47">
        <v>2.0099999999999996E-2</v>
      </c>
      <c r="D160">
        <v>96</v>
      </c>
      <c r="E160" t="s">
        <v>128</v>
      </c>
      <c r="F160" s="15">
        <v>2.0499999999999998</v>
      </c>
      <c r="G160">
        <v>15</v>
      </c>
      <c r="H160">
        <v>51</v>
      </c>
      <c r="I160" t="s">
        <v>453</v>
      </c>
      <c r="J160" t="s">
        <v>379</v>
      </c>
      <c r="K160">
        <f>Consulta1[[#This Row],[min_port]]/100</f>
        <v>1.29E-2</v>
      </c>
      <c r="L160" s="47">
        <f>Consulta1[[#This Row],[TETO_COMERCIAL]]/100</f>
        <v>2.0499999999999997E-2</v>
      </c>
    </row>
    <row r="161" spans="1:12" x14ac:dyDescent="0.25">
      <c r="A161" t="s">
        <v>238</v>
      </c>
      <c r="B161" t="s">
        <v>82</v>
      </c>
      <c r="C161" s="47">
        <v>1.9099999999999999E-2</v>
      </c>
      <c r="D161">
        <v>96</v>
      </c>
      <c r="E161" t="s">
        <v>128</v>
      </c>
      <c r="F161" s="15">
        <v>2.0499999999999998</v>
      </c>
      <c r="G161">
        <v>15</v>
      </c>
      <c r="H161">
        <v>51</v>
      </c>
      <c r="I161" t="s">
        <v>452</v>
      </c>
      <c r="J161" t="s">
        <v>379</v>
      </c>
      <c r="K161">
        <f>Consulta1[[#This Row],[min_port]]/100</f>
        <v>1.29E-2</v>
      </c>
      <c r="L161" s="47">
        <f>Consulta1[[#This Row],[TETO_COMERCIAL]]/100</f>
        <v>2.0499999999999997E-2</v>
      </c>
    </row>
    <row r="162" spans="1:12" x14ac:dyDescent="0.25">
      <c r="A162" t="s">
        <v>238</v>
      </c>
      <c r="B162" t="s">
        <v>83</v>
      </c>
      <c r="C162" s="47">
        <v>1.8100000000000002E-2</v>
      </c>
      <c r="D162">
        <v>96</v>
      </c>
      <c r="E162" t="s">
        <v>128</v>
      </c>
      <c r="F162" s="15">
        <v>2.0499999999999998</v>
      </c>
      <c r="G162">
        <v>15</v>
      </c>
      <c r="H162">
        <v>51</v>
      </c>
      <c r="I162" t="s">
        <v>451</v>
      </c>
      <c r="J162" t="s">
        <v>379</v>
      </c>
      <c r="K162">
        <f>Consulta1[[#This Row],[min_port]]/100</f>
        <v>1.29E-2</v>
      </c>
      <c r="L162" s="47">
        <f>Consulta1[[#This Row],[TETO_COMERCIAL]]/100</f>
        <v>2.0499999999999997E-2</v>
      </c>
    </row>
    <row r="163" spans="1:12" x14ac:dyDescent="0.25">
      <c r="A163" t="s">
        <v>454</v>
      </c>
      <c r="B163" t="s">
        <v>455</v>
      </c>
      <c r="C163" s="47">
        <v>0.02</v>
      </c>
      <c r="D163">
        <v>120</v>
      </c>
      <c r="E163" t="s">
        <v>128</v>
      </c>
      <c r="F163" s="15">
        <v>2.2000000000000002</v>
      </c>
      <c r="G163">
        <v>1</v>
      </c>
      <c r="H163">
        <v>41</v>
      </c>
      <c r="I163" t="s">
        <v>456</v>
      </c>
      <c r="J163" t="s">
        <v>272</v>
      </c>
      <c r="K163">
        <f>Consulta1[[#This Row],[min_port]]/100</f>
        <v>1.4999999999999999E-2</v>
      </c>
      <c r="L163" s="47">
        <f>Consulta1[[#This Row],[TETO_COMERCIAL]]/100</f>
        <v>2.2000000000000002E-2</v>
      </c>
    </row>
    <row r="164" spans="1:12" x14ac:dyDescent="0.25">
      <c r="A164" t="s">
        <v>239</v>
      </c>
      <c r="B164" t="s">
        <v>460</v>
      </c>
      <c r="C164" s="47">
        <v>2.2200000000000001E-2</v>
      </c>
      <c r="D164">
        <v>96</v>
      </c>
      <c r="E164" t="s">
        <v>128</v>
      </c>
      <c r="F164" s="15">
        <v>2.2200000000000002</v>
      </c>
      <c r="G164">
        <v>10</v>
      </c>
      <c r="H164">
        <v>27</v>
      </c>
      <c r="I164" t="s">
        <v>461</v>
      </c>
      <c r="J164" t="s">
        <v>303</v>
      </c>
      <c r="K164">
        <f>Consulta1[[#This Row],[min_port]]/100</f>
        <v>1.7500000000000002E-2</v>
      </c>
      <c r="L164" s="47">
        <f>Consulta1[[#This Row],[TETO_COMERCIAL]]/100</f>
        <v>2.2200000000000001E-2</v>
      </c>
    </row>
    <row r="165" spans="1:12" x14ac:dyDescent="0.25">
      <c r="A165" t="s">
        <v>239</v>
      </c>
      <c r="B165" t="s">
        <v>240</v>
      </c>
      <c r="C165" s="47">
        <v>2.1000000000000001E-2</v>
      </c>
      <c r="D165">
        <v>96</v>
      </c>
      <c r="E165" t="s">
        <v>128</v>
      </c>
      <c r="F165" s="15">
        <v>2.2200000000000002</v>
      </c>
      <c r="G165">
        <v>10</v>
      </c>
      <c r="H165">
        <v>27</v>
      </c>
      <c r="I165" t="s">
        <v>459</v>
      </c>
      <c r="J165" t="s">
        <v>303</v>
      </c>
      <c r="K165">
        <f>Consulta1[[#This Row],[min_port]]/100</f>
        <v>1.7500000000000002E-2</v>
      </c>
      <c r="L165" s="47">
        <f>Consulta1[[#This Row],[TETO_COMERCIAL]]/100</f>
        <v>2.2200000000000001E-2</v>
      </c>
    </row>
    <row r="166" spans="1:12" x14ac:dyDescent="0.25">
      <c r="A166" t="s">
        <v>239</v>
      </c>
      <c r="B166" t="s">
        <v>241</v>
      </c>
      <c r="C166" s="47">
        <v>0.02</v>
      </c>
      <c r="D166">
        <v>96</v>
      </c>
      <c r="E166" t="s">
        <v>128</v>
      </c>
      <c r="F166" s="15">
        <v>2.2200000000000002</v>
      </c>
      <c r="G166">
        <v>10</v>
      </c>
      <c r="H166">
        <v>27</v>
      </c>
      <c r="I166" t="s">
        <v>457</v>
      </c>
      <c r="J166" t="s">
        <v>303</v>
      </c>
      <c r="K166">
        <f>Consulta1[[#This Row],[min_port]]/100</f>
        <v>1.7500000000000002E-2</v>
      </c>
      <c r="L166" s="47">
        <f>Consulta1[[#This Row],[TETO_COMERCIAL]]/100</f>
        <v>2.2200000000000001E-2</v>
      </c>
    </row>
    <row r="167" spans="1:12" x14ac:dyDescent="0.25">
      <c r="A167" t="s">
        <v>239</v>
      </c>
      <c r="B167" t="s">
        <v>242</v>
      </c>
      <c r="C167" s="47">
        <v>0.02</v>
      </c>
      <c r="D167">
        <v>96</v>
      </c>
      <c r="E167" t="s">
        <v>128</v>
      </c>
      <c r="F167" s="15">
        <v>2.2200000000000002</v>
      </c>
      <c r="G167">
        <v>10</v>
      </c>
      <c r="H167">
        <v>27</v>
      </c>
      <c r="I167" t="s">
        <v>458</v>
      </c>
      <c r="J167" t="s">
        <v>303</v>
      </c>
      <c r="K167">
        <f>Consulta1[[#This Row],[min_port]]/100</f>
        <v>1.7500000000000002E-2</v>
      </c>
      <c r="L167" s="47">
        <f>Consulta1[[#This Row],[TETO_COMERCIAL]]/100</f>
        <v>2.2200000000000001E-2</v>
      </c>
    </row>
    <row r="168" spans="1:12" x14ac:dyDescent="0.25">
      <c r="A168" t="s">
        <v>243</v>
      </c>
      <c r="B168" t="s">
        <v>244</v>
      </c>
      <c r="C168" s="47">
        <v>2.1000000000000001E-2</v>
      </c>
      <c r="D168">
        <v>96</v>
      </c>
      <c r="E168" t="s">
        <v>128</v>
      </c>
      <c r="F168" s="15">
        <v>2.25</v>
      </c>
      <c r="G168">
        <v>15</v>
      </c>
      <c r="H168">
        <v>44</v>
      </c>
      <c r="I168" t="s">
        <v>462</v>
      </c>
      <c r="J168" t="s">
        <v>463</v>
      </c>
      <c r="K168">
        <f>Consulta1[[#This Row],[min_port]]/100</f>
        <v>1.89E-2</v>
      </c>
      <c r="L168" s="47">
        <f>Consulta1[[#This Row],[TETO_COMERCIAL]]/100</f>
        <v>2.2499999999999999E-2</v>
      </c>
    </row>
  </sheetData>
  <phoneticPr fontId="24" type="noConversion"/>
  <pageMargins left="0.511811024" right="0.511811024" top="0.78740157499999996" bottom="0.78740157499999996" header="0.31496062000000002" footer="0.31496062000000002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9 c 8 f 0 d a a - 0 3 0 c - 4 b 3 e - 8 8 f 4 - 6 5 8 a 2 5 c 3 7 a 0 8 "   x m l n s = " h t t p : / / s c h e m a s . m i c r o s o f t . c o m / D a t a M a s h u p " > A A A A A H 0 I A A B Q S w M E F A A C A A g A K F w f V 4 L R + E i k A A A A 9 w A A A B I A H A B D b 2 5 m a W c v U G F j a 2 F n Z S 5 4 b W w g o h g A K K A U A A A A A A A A A A A A A A A A A A A A A A A A A A A A h Y 9 N C s I w G E S v U r J v / k S Q 8 j U F 3 V o Q B X E b Y m y D b V q a 1 P R u L j y S V 7 C i V X c u 5 8 1 b z N y v N 8 i G u o o u u n O m s S l i m K J I W 9 U c j S 1 S 1 P t T v E C Z g I 1 U Z 1 n o a J S t S w Z 3 T F H p f Z s Q E k L A Y Y a b r i C c U k Y O + X q n S l 1 L 9 J H N f z k 2 1 n l p l U Y C 9 q 8 x g m N G 5 5 h x z j E F M l H I j f 0 a f B z 8 b H 8 g r P r K 9 5 0 W r Y + X W y B T B P I + I R 5 Q S w M E F A A C A A g A K F w f V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C h c H 1 f u y J r t d w U A A B Q Q A A A T A B w A R m 9 y b X V s Y X M v U 2 V j d G l v b j E u b S C i G A A o o B Q A A A A A A A A A A A A A A A A A A A A A A A A A A A D t V 2 1 v 2 z Y Q / h 4 g / + H g I J B U 0 K 7 t p E 2 K L g V o v b h a Z U m V a C / t M B i K r b R q Z c m T Z C x F 0 U / 7 a f t j O 1 K v S Z y 2 w P p h G B Y E N M V 7 4 f H u u T s y D 1 d F l C b g l 7 + j 5 4 c H h w f 5 + y A L 1 6 C m S b 6 L i 2 A E F x C H x e E B 4 J + R J k W I C / 7 v 8 U A L i u A q y E O 5 5 2 v 0 j e 8 O T 4 b j c Y 9 A T 1 M X S 2 N u q 9 T B r 1 9 f 7 8 L s 0 0 U v D 2 P c B N Z R X k Q J T k z f n l u W v N 2 u 0 n W a v T s l 7 k x 1 N M e b n i r Q L A I B 5 1 T T f d U j t Y D r I p v q 2 I t S w P U 0 B a g P z T K K H M n x t d K w M 9 d x d Y + c K M 0 U N M p 0 z T Q M k N F w 4 r o a m 1 B f F 5 P R Q m W O A i r 1 d F s 1 K f T 7 p N U t F I s h S o o U j o p w s x W f 1 1 m 6 A c N W l 6 7 n u H T O 9 J n r D Q b M p R 4 F 2 X Y s R 3 2 l t M K W b j D 4 2 T H t + y K r b Z Z u Q U 7 S O F 1 9 V B w b G q + g 0 4 U d Y k 5 t r X P i C 6 h d 0 a r / k E a J U K 9 q a m W N k K x V A 0 a 9 q 9 s 5 L e f f M l C d O Q u 3 O R O g h T P X 9 j i L M L C a c v t m r m 8 y Q C t k y b S Z R C R c x N H V b R w t c y K V z v j j f Z i F I M / Q 9 5 z / B a p 5 F x b r o A h l p T 8 6 H 0 K Q r K E O H R K l E w n A 8 d B 4 j V E L B S 5 g q j M e U V m B P o y G p X N m A j X o E r D M V z p I x 5 5 h H 0 s P 0 F z H Y 3 R y L H V i J I Y K s 7 V 3 S S t J r g Y V M D n 4 u G v 0 K U X / I Q u 7 d D 1 T 1 Y H R S 0 o 8 3 b U o f s j u z L h E O B D p O Z 5 e U s D 1 6 F u H B A P U T T 0 8 y W L i 6 W o F X b E m l C D 2 U I 5 d 8 p 2 1 C Y 6 c Q s T R 2 Z x a B O h i K t d Y V e r J c o b o p u R W S P c N G B Y H j n h g x 1 9 B c b E N s q D F T V D a 2 K D j D r 6 u b m F D n G 8 / x g R A R Q b B S o D x I T j / 8 l L 3 h A N L Y V 6 O p O F w J J X A Q F c Y 5 g x h 0 4 A G E N s Z t P G J o 4 8 h x p i f I g k Q A v u I Q Z i l S b A r G o S U + 4 P t M D B t Y Y Y s n T 1 7 c j Z + K h E o Z 2 f N 7 F y C u 6 6 d e s 7 c h c k b a J e + j q I O c B 4 G z T / G y w O Q 8 H V L V x m s s J g D 5 m P S A X T t o S j J c / R O w a m Y z 7 4 v 1 U f D J l C N v E E 8 I D 5 1 F u C 7 m J 9 1 q o E I H 3 S T s W L 1 d Y O + b b Z q B M W y d G / P c v w B u 7 o o v N i z r V g v 9 9 U t X + / u o i N U O q k P i F 6 V s g q q P L w S K m D B V R g H I J G 2 K w 6 0 i T M w k m V 4 U 2 R B l C W 7 D c J P b m 1 S R E d D g 3 W L E l 5 G H o + G w 7 K e C D t U b F a A a W G D p d u y q C Q K Z s B J G R H G C S 2 L I N e F b n R 6 i k c U H D j d E 8 A 9 I u N h I z I e f p f I s 6 e 1 x L O n 3 y V w 3 l h 1 / n 1 G n Y 1 r g b M x i L C U Z B G R 2 5 / 8 b s A / W r R j K o F B s V y R d k 2 u S n 2 B 3 X c E p S P 7 / T i 8 L u T t 5 v q m u C E r v B V F y T q 8 Q f m + S M c m L T t J 3 q S u Z 0 5 f s l p W 5 n E q 5 7 x H N a q w N a K q i q C 0 C l t 9 X y v J 6 7 Y o d z o p r A f 7 S y V f v 1 8 s a 0 p b p X l N K r / K b I n y Z B f H 9 V G 4 e T + 9 k M q E 4 G T 5 f i 6 V y H U w R G W f 3 k f + 6 0 9 O V x 4 / Q p Y 9 K p q E v d O w e U G u W M q G r j x 6 D I 0 t d x g r s C z R B c e l w X u 0 V U y v 5 9 Y 3 e d j c m z j f 5 D L t y d z z 6 b G U Z u s Q e 8 0 n 6 L h + H e Y r g D K / d e Y s V W e m e 9 i y L d J t F F i 7 O Q e / i t 7 N + L b W Y 6 i G U C V 7 t + 9 X C d D y V V n Q c B m m T S 0 g H f P J D 8 2 B f H e V F 8 j 3 D m q 5 E d k P + f 6 I 9 4 z / 0 f 4 f R 3 t p c Q 6 b K F l u 0 6 z Y d x c 1 P G d W 3 U V h A p 2 L 3 7 / r l F V S 3 L o k J m n B n z m I 7 P P R k + H 5 u H p G O J 6 G D x a 8 A o 4 w + / C q d i L c g S 9 i N d 1 s M H 4 s 2 o T p r r g 4 W u + y g L + + 5 S E B / D / h P 8 p v C i l f 3 E c 9 F m 1 T o H E R Z s E 6 7 S F m 8 U o R h w O G 9 9 n 8 O s 0 2 a h r v N g n 7 t A 1 z W b z P y e f P v d v V B X c t k A 5 4 1 b g K s y 9 f l M O D K N m v / / n f U E s B A i 0 A F A A C A A g A K F w f V 4 L R + E i k A A A A 9 w A A A B I A A A A A A A A A A A A A A A A A A A A A A E N v b m Z p Z y 9 Q Y W N r Y W d l L n h t b F B L A Q I t A B Q A A g A I A C h c H 1 c P y u m r p A A A A O k A A A A T A A A A A A A A A A A A A A A A A P A A A A B b Q 2 9 u d G V u d F 9 U e X B l c 1 0 u e G 1 s U E s B A i 0 A F A A C A A g A K F w f V + 7 I m u 1 3 B Q A A F B A A A B M A A A A A A A A A A A A A A A A A 4 Q E A A E Z v c m 1 1 b G F z L 1 N l Y 3 R p b 2 4 x L m 1 Q S w U G A A A A A A M A A w D C A A A A p Q c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G g 0 A A A A A A A D 4 D A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v b n N 1 b H R h M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Z W d h w 6 f D o 2 8 i I C 8 + P E V u d H J 5 I F R 5 c G U 9 I k Z p b G x U Y X J n Z X Q i I F Z h b H V l P S J z Q 2 9 u c 3 V s d G E x I i A v P j x F b n R y e S B U e X B l P S J G a W x s Z W R D b 2 1 w b G V 0 Z V J l c 3 V s d F R v V 2 9 y a 3 N o Z W V 0 I i B W Y W x 1 Z T 0 i b D E i I C 8 + P E V u d H J 5 I F R 5 c G U 9 I l J l Y 2 9 2 Z X J 5 V G F y Z 2 V 0 U 2 h l Z X Q i I F Z h b H V l P S J z U G x h b m l s a G E y I i A v P j x F b n R y e S B U e X B l P S J S Z W N v d m V y e V R h c m d l d E N v b H V t b i I g V m F s d W U 9 I m w x I i A v P j x F b n R y e S B U e X B l P S J S Z W N v d m V y e V R h c m d l d F J v d y I g V m F s d W U 9 I m w x I i A v P j x F b n R y e S B U e X B l P S J G a W x s T G F z d F V w Z G F 0 Z W Q i I F Z h b H V l P S J k M j A y M y 0 w O C 0 z M V Q x N D o z M z o x N y 4 4 O T U 2 O D Q 0 W i I g L z 4 8 R W 5 0 c n k g V H l w Z T 0 i R m l s b E N v b H V t b l R 5 c G V z I i B W Y W x 1 Z T 0 i c 0 J n W U Z B Z 1 l G Q W d J R 0 J n P T 0 i I C 8 + P E V u d H J 5 I F R 5 c G U 9 I k Z p b G x D b 2 x 1 b W 5 O Y W 1 l c y I g V m F s d W U 9 I n N b J n F 1 b 3 Q 7 R U 1 Q U k V H Q U R P U i Z x d W 9 0 O y w m c X V v d D t U Q U J F T E E m c X V v d D s s J n F 1 b 3 Q 7 V E F Y Q S Z x d W 9 0 O y w m c X V v d D t Q U k F a T y Z x d W 9 0 O y w m c X V v d D t G Q V R P U i Z x d W 9 0 O y w m c X V v d D t U R V R P X 0 N P T U V S Q 0 l B T C Z x d W 9 0 O y w m c X V v d D t W Q 1 R P J n F 1 b 3 Q 7 L C Z x d W 9 0 O 0 N B U k V O Q 0 l B X 0 Z J T k F M J n F 1 b 3 Q 7 L C Z x d W 9 0 O 1 B N R E V T Q 1 J Q U k Q m c X V v d D s s J n F 1 b 3 Q 7 b W l u X 3 B v c n Q m c X V v d D t d I i A v P j x F b n R y e S B U e X B l P S J R d W V y e U l E I i B W Y W x 1 Z T 0 i c 2 U 3 M G J h Y T Y w L W N i Y j k t N D J l O S 0 5 M z Y 2 L T k 3 M z N m Z j Y 4 M z A x Y i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Q 2 9 1 b n Q i I F Z h b H V l P S J s M T Y 3 I i A v P j x F b n R y e S B U e X B l P S J G a W x s U 3 R h d H V z I i B W Y W x 1 Z T 0 i c 0 N v b X B s Z X R l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D b 2 5 z d W x 0 Y T E v R m 9 u d G U u e 0 V N U F J F R 0 F E T 1 I s M H 0 m c X V v d D s s J n F 1 b 3 Q 7 U 2 V j d G l v b j E v Q 2 9 u c 3 V s d G E x L 0 Z v b n R l L n t U Q U J F T E E s M X 0 m c X V v d D s s J n F 1 b 3 Q 7 U 2 V j d G l v b j E v Q 2 9 u c 3 V s d G E x L 0 Z v b n R l L n t U Q V h B L D J 9 J n F 1 b 3 Q 7 L C Z x d W 9 0 O 1 N l Y 3 R p b 2 4 x L 0 N v b n N 1 b H R h M S 9 G b 2 5 0 Z S 5 7 U F J B W k 8 s M 3 0 m c X V v d D s s J n F 1 b 3 Q 7 U 2 V j d G l v b j E v Q 2 9 u c 3 V s d G E x L 0 Z v b n R l L n t G Q V R P U i w 0 f S Z x d W 9 0 O y w m c X V v d D t T Z W N 0 a W 9 u M S 9 D b 2 5 z d W x 0 Y T E v V G l w b y B B b H R l c m F k b y 5 7 V E V U T 1 9 D T 0 1 F U k N J Q U w s N X 0 m c X V v d D s s J n F 1 b 3 Q 7 U 2 V j d G l v b j E v Q 2 9 u c 3 V s d G E x L 0 Z v b n R l L n t W Q 1 R P L D Z 9 J n F 1 b 3 Q 7 L C Z x d W 9 0 O 1 N l Y 3 R p b 2 4 x L 0 N v b n N 1 b H R h M S 9 G b 2 5 0 Z S 5 7 Q 0 F S R U 5 D S U F f R k l O Q U w s N 3 0 m c X V v d D s s J n F 1 b 3 Q 7 U 2 V j d G l v b j E v Q 2 9 u c 3 V s d G E x L 0 Z v b n R l L n t Q T U R F U 0 N S U F J E L D h 9 J n F 1 b 3 Q 7 L C Z x d W 9 0 O 1 N l Y 3 R p b 2 4 x L 0 N v b n N 1 b H R h M S 9 G b 2 5 0 Z S 5 7 b W l u X 3 B v c n Q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0 N v b n N 1 b H R h M S 9 G b 2 5 0 Z S 5 7 R U 1 Q U k V H Q U R P U i w w f S Z x d W 9 0 O y w m c X V v d D t T Z W N 0 a W 9 u M S 9 D b 2 5 z d W x 0 Y T E v R m 9 u d G U u e 1 R B Q k V M Q S w x f S Z x d W 9 0 O y w m c X V v d D t T Z W N 0 a W 9 u M S 9 D b 2 5 z d W x 0 Y T E v R m 9 u d G U u e 1 R B W E E s M n 0 m c X V v d D s s J n F 1 b 3 Q 7 U 2 V j d G l v b j E v Q 2 9 u c 3 V s d G E x L 0 Z v b n R l L n t Q U k F a T y w z f S Z x d W 9 0 O y w m c X V v d D t T Z W N 0 a W 9 u M S 9 D b 2 5 z d W x 0 Y T E v R m 9 u d G U u e 0 Z B V E 9 S L D R 9 J n F 1 b 3 Q 7 L C Z x d W 9 0 O 1 N l Y 3 R p b 2 4 x L 0 N v b n N 1 b H R h M S 9 U a X B v I E F s d G V y Y W R v L n t U R V R P X 0 N P T U V S Q 0 l B T C w 1 f S Z x d W 9 0 O y w m c X V v d D t T Z W N 0 a W 9 u M S 9 D b 2 5 z d W x 0 Y T E v R m 9 u d G U u e 1 Z D V E 8 s N n 0 m c X V v d D s s J n F 1 b 3 Q 7 U 2 V j d G l v b j E v Q 2 9 u c 3 V s d G E x L 0 Z v b n R l L n t D Q V J F T k N J Q V 9 G S U 5 B T C w 3 f S Z x d W 9 0 O y w m c X V v d D t T Z W N 0 a W 9 u M S 9 D b 2 5 z d W x 0 Y T E v R m 9 u d G U u e 1 B N R E V T Q 1 J Q U k Q s O H 0 m c X V v d D s s J n F 1 b 3 Q 7 U 2 V j d G l v b j E v Q 2 9 u c 3 V s d G E x L 0 Z v b n R l L n t t a W 5 f c G 9 y d C w 5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Q 2 9 u c 3 V s d G E x L 0 Z v b n R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2 9 u c 3 V s d G E x L 1 R p c G 8 l M j B B b H R l c m F k b z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A R x G r Y s W L k T 5 S 2 y D f f Q 4 O v A A A A A A I A A A A A A A N m A A D A A A A A E A A A A P I e R x I X F X c a Z b H P H g U G C Y c A A A A A B I A A A K A A A A A Q A A A A c e 8 T e W h u c h A 7 z o X Y w s 6 U 9 F A A A A B m p H q l A Y x A G g u a b p s L o l g T 7 z 2 0 W v 7 Y r 6 e l z x l c R g h e z 9 j r e r e z 1 a 1 Y i A k x y V C j 9 z 9 p C K 2 b r y y b J n 2 t d a n B S i k K B W X O 4 5 r p G B O V 6 3 z 6 J X v G b R Q A A A C K p o S r o I U D t H T g m 8 m F y U D b h t 9 s s g = = < / D a t a M a s h u p > 
</file>

<file path=customXml/itemProps1.xml><?xml version="1.0" encoding="utf-8"?>
<ds:datastoreItem xmlns:ds="http://schemas.openxmlformats.org/officeDocument/2006/customXml" ds:itemID="{8647B72B-3498-41F4-A163-F0F35CA99440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Matriz Ponderação</vt:lpstr>
      <vt:lpstr>Batalha Naval</vt:lpstr>
      <vt:lpstr>CALCULAR SALDO APROXIMADO </vt:lpstr>
      <vt:lpstr>SIMULADOR COM SALDO</vt:lpstr>
      <vt:lpstr>Base tabelas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Gerente Adm - Luiz Antonio Martins R: 0773</dc:creator>
  <cp:lastModifiedBy>Sup. Correspondente País - Wanderson Souza Lopes</cp:lastModifiedBy>
  <cp:lastPrinted>2023-07-21T12:48:02Z</cp:lastPrinted>
  <dcterms:created xsi:type="dcterms:W3CDTF">2022-10-03T16:18:40Z</dcterms:created>
  <dcterms:modified xsi:type="dcterms:W3CDTF">2023-08-31T17:43:13Z</dcterms:modified>
</cp:coreProperties>
</file>